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9df3da5f69c6c6be/Pictures/Cricket Auction Software Logo/"/>
    </mc:Choice>
  </mc:AlternateContent>
  <xr:revisionPtr revIDLastSave="6" documentId="13_ncr:1_{3AFB87B3-289F-4DEB-9660-5E9AC0233CBB}" xr6:coauthVersionLast="47" xr6:coauthVersionMax="47" xr10:uidLastSave="{9D08FFA2-E65D-4130-A091-D47F4691A016}"/>
  <bookViews>
    <workbookView xWindow="-120" yWindow="-120" windowWidth="29040" windowHeight="15720" xr2:uid="{00000000-000D-0000-FFFF-FFFF00000000}"/>
  </bookViews>
  <sheets>
    <sheet name="Instructions" sheetId="7" r:id="rId1"/>
    <sheet name="Dashboard" sheetId="1" r:id="rId2"/>
    <sheet name="Teams" sheetId="2" r:id="rId3"/>
    <sheet name="Players" sheetId="3" r:id="rId4"/>
    <sheet name="Sold Players" sheetId="4" r:id="rId5"/>
    <sheet name="Unsold Players" sheetId="5" r:id="rId6"/>
    <sheet name="Team View" sheetId="6" r:id="rId7"/>
  </sheets>
  <definedNames>
    <definedName name="_xlnm._FilterDatabase" localSheetId="3" hidden="1">Players!$A$3:$J$503</definedName>
    <definedName name="TeamList">Teams!$A$4:INDEX(Teams!$A$4:$A$7,MAX(1,COUNTA(Teams!$A$4:$A$7)))</definedName>
  </definedNames>
  <calcPr calcId="191029" forceFullCalc="1"/>
</workbook>
</file>

<file path=xl/calcChain.xml><?xml version="1.0" encoding="utf-8"?>
<calcChain xmlns="http://schemas.openxmlformats.org/spreadsheetml/2006/main">
  <c r="B5" i="6" l="1"/>
  <c r="M503" i="3"/>
  <c r="L503" i="3"/>
  <c r="K503" i="3"/>
  <c r="J503" i="3"/>
  <c r="A503" i="3"/>
  <c r="M502" i="3"/>
  <c r="L502" i="3"/>
  <c r="K502" i="3"/>
  <c r="J502" i="3"/>
  <c r="A502" i="3"/>
  <c r="M501" i="3"/>
  <c r="L501" i="3"/>
  <c r="K501" i="3"/>
  <c r="J501" i="3"/>
  <c r="A501" i="3"/>
  <c r="M500" i="3"/>
  <c r="L500" i="3"/>
  <c r="K500" i="3"/>
  <c r="J500" i="3"/>
  <c r="A500" i="3"/>
  <c r="M499" i="3"/>
  <c r="L499" i="3"/>
  <c r="K499" i="3"/>
  <c r="J499" i="3"/>
  <c r="A499" i="3"/>
  <c r="M498" i="3"/>
  <c r="L498" i="3"/>
  <c r="K498" i="3"/>
  <c r="J498" i="3"/>
  <c r="A498" i="3"/>
  <c r="M497" i="3"/>
  <c r="L497" i="3"/>
  <c r="K497" i="3"/>
  <c r="J497" i="3"/>
  <c r="A497" i="3"/>
  <c r="M496" i="3"/>
  <c r="L496" i="3"/>
  <c r="K496" i="3"/>
  <c r="J496" i="3"/>
  <c r="A496" i="3"/>
  <c r="M495" i="3"/>
  <c r="L495" i="3"/>
  <c r="K495" i="3"/>
  <c r="J495" i="3"/>
  <c r="A495" i="3"/>
  <c r="M494" i="3"/>
  <c r="L494" i="3"/>
  <c r="K494" i="3"/>
  <c r="J494" i="3"/>
  <c r="A494" i="3"/>
  <c r="M493" i="3"/>
  <c r="L493" i="3"/>
  <c r="K493" i="3"/>
  <c r="J493" i="3"/>
  <c r="A493" i="3"/>
  <c r="M492" i="3"/>
  <c r="L492" i="3"/>
  <c r="K492" i="3"/>
  <c r="J492" i="3"/>
  <c r="A492" i="3"/>
  <c r="M491" i="3"/>
  <c r="L491" i="3"/>
  <c r="K491" i="3"/>
  <c r="J491" i="3"/>
  <c r="A491" i="3"/>
  <c r="M490" i="3"/>
  <c r="L490" i="3"/>
  <c r="K490" i="3"/>
  <c r="J490" i="3"/>
  <c r="A490" i="3"/>
  <c r="M489" i="3"/>
  <c r="L489" i="3"/>
  <c r="K489" i="3"/>
  <c r="J489" i="3"/>
  <c r="A489" i="3"/>
  <c r="M488" i="3"/>
  <c r="L488" i="3"/>
  <c r="K488" i="3"/>
  <c r="J488" i="3"/>
  <c r="A488" i="3"/>
  <c r="M487" i="3"/>
  <c r="L487" i="3"/>
  <c r="K487" i="3"/>
  <c r="J487" i="3"/>
  <c r="A487" i="3"/>
  <c r="M486" i="3"/>
  <c r="L486" i="3"/>
  <c r="K486" i="3"/>
  <c r="J486" i="3"/>
  <c r="A486" i="3"/>
  <c r="M485" i="3"/>
  <c r="L485" i="3"/>
  <c r="K485" i="3"/>
  <c r="J485" i="3"/>
  <c r="A485" i="3"/>
  <c r="M484" i="3"/>
  <c r="L484" i="3"/>
  <c r="K484" i="3"/>
  <c r="J484" i="3"/>
  <c r="A484" i="3"/>
  <c r="M483" i="3"/>
  <c r="L483" i="3"/>
  <c r="K483" i="3"/>
  <c r="J483" i="3"/>
  <c r="A483" i="3"/>
  <c r="M482" i="3"/>
  <c r="L482" i="3"/>
  <c r="K482" i="3"/>
  <c r="J482" i="3"/>
  <c r="A482" i="3"/>
  <c r="M481" i="3"/>
  <c r="L481" i="3"/>
  <c r="K481" i="3"/>
  <c r="J481" i="3"/>
  <c r="A481" i="3"/>
  <c r="M480" i="3"/>
  <c r="L480" i="3"/>
  <c r="K480" i="3"/>
  <c r="J480" i="3"/>
  <c r="A480" i="3"/>
  <c r="M479" i="3"/>
  <c r="L479" i="3"/>
  <c r="K479" i="3"/>
  <c r="J479" i="3"/>
  <c r="A479" i="3"/>
  <c r="M478" i="3"/>
  <c r="L478" i="3"/>
  <c r="K478" i="3"/>
  <c r="J478" i="3"/>
  <c r="A478" i="3"/>
  <c r="M477" i="3"/>
  <c r="L477" i="3"/>
  <c r="K477" i="3"/>
  <c r="J477" i="3"/>
  <c r="A477" i="3"/>
  <c r="M476" i="3"/>
  <c r="L476" i="3"/>
  <c r="K476" i="3"/>
  <c r="J476" i="3"/>
  <c r="A476" i="3"/>
  <c r="M475" i="3"/>
  <c r="L475" i="3"/>
  <c r="K475" i="3"/>
  <c r="J475" i="3"/>
  <c r="A475" i="3"/>
  <c r="M474" i="3"/>
  <c r="L474" i="3"/>
  <c r="K474" i="3"/>
  <c r="J474" i="3"/>
  <c r="A474" i="3"/>
  <c r="M473" i="3"/>
  <c r="L473" i="3"/>
  <c r="K473" i="3"/>
  <c r="J473" i="3"/>
  <c r="A473" i="3"/>
  <c r="M472" i="3"/>
  <c r="L472" i="3"/>
  <c r="K472" i="3"/>
  <c r="J472" i="3"/>
  <c r="A472" i="3"/>
  <c r="M471" i="3"/>
  <c r="L471" i="3"/>
  <c r="K471" i="3"/>
  <c r="J471" i="3"/>
  <c r="A471" i="3"/>
  <c r="M470" i="3"/>
  <c r="L470" i="3"/>
  <c r="K470" i="3"/>
  <c r="J470" i="3"/>
  <c r="A470" i="3"/>
  <c r="M469" i="3"/>
  <c r="L469" i="3"/>
  <c r="K469" i="3"/>
  <c r="J469" i="3"/>
  <c r="A469" i="3"/>
  <c r="M468" i="3"/>
  <c r="L468" i="3"/>
  <c r="K468" i="3"/>
  <c r="J468" i="3"/>
  <c r="A468" i="3"/>
  <c r="M467" i="3"/>
  <c r="L467" i="3"/>
  <c r="K467" i="3"/>
  <c r="J467" i="3"/>
  <c r="A467" i="3"/>
  <c r="M466" i="3"/>
  <c r="L466" i="3"/>
  <c r="K466" i="3"/>
  <c r="J466" i="3"/>
  <c r="A466" i="3"/>
  <c r="M465" i="3"/>
  <c r="L465" i="3"/>
  <c r="K465" i="3"/>
  <c r="J465" i="3"/>
  <c r="A465" i="3"/>
  <c r="M464" i="3"/>
  <c r="L464" i="3"/>
  <c r="K464" i="3"/>
  <c r="J464" i="3"/>
  <c r="A464" i="3"/>
  <c r="M463" i="3"/>
  <c r="L463" i="3"/>
  <c r="K463" i="3"/>
  <c r="J463" i="3"/>
  <c r="A463" i="3"/>
  <c r="M462" i="3"/>
  <c r="L462" i="3"/>
  <c r="K462" i="3"/>
  <c r="J462" i="3"/>
  <c r="A462" i="3"/>
  <c r="M461" i="3"/>
  <c r="L461" i="3"/>
  <c r="K461" i="3"/>
  <c r="J461" i="3"/>
  <c r="A461" i="3"/>
  <c r="M460" i="3"/>
  <c r="L460" i="3"/>
  <c r="K460" i="3"/>
  <c r="J460" i="3"/>
  <c r="A460" i="3"/>
  <c r="M459" i="3"/>
  <c r="L459" i="3"/>
  <c r="K459" i="3"/>
  <c r="J459" i="3"/>
  <c r="A459" i="3"/>
  <c r="M458" i="3"/>
  <c r="L458" i="3"/>
  <c r="K458" i="3"/>
  <c r="J458" i="3"/>
  <c r="A458" i="3"/>
  <c r="M457" i="3"/>
  <c r="L457" i="3"/>
  <c r="K457" i="3"/>
  <c r="J457" i="3"/>
  <c r="A457" i="3"/>
  <c r="M456" i="3"/>
  <c r="L456" i="3"/>
  <c r="K456" i="3"/>
  <c r="J456" i="3"/>
  <c r="A456" i="3"/>
  <c r="M455" i="3"/>
  <c r="L455" i="3"/>
  <c r="K455" i="3"/>
  <c r="J455" i="3"/>
  <c r="A455" i="3"/>
  <c r="M454" i="3"/>
  <c r="L454" i="3"/>
  <c r="K454" i="3"/>
  <c r="J454" i="3"/>
  <c r="A454" i="3"/>
  <c r="M453" i="3"/>
  <c r="L453" i="3"/>
  <c r="K453" i="3"/>
  <c r="J453" i="3"/>
  <c r="A453" i="3"/>
  <c r="M452" i="3"/>
  <c r="L452" i="3"/>
  <c r="K452" i="3"/>
  <c r="J452" i="3"/>
  <c r="A452" i="3"/>
  <c r="M451" i="3"/>
  <c r="L451" i="3"/>
  <c r="K451" i="3"/>
  <c r="J451" i="3"/>
  <c r="A451" i="3"/>
  <c r="M450" i="3"/>
  <c r="L450" i="3"/>
  <c r="K450" i="3"/>
  <c r="J450" i="3"/>
  <c r="A450" i="3"/>
  <c r="M449" i="3"/>
  <c r="L449" i="3"/>
  <c r="K449" i="3"/>
  <c r="J449" i="3"/>
  <c r="A449" i="3"/>
  <c r="M448" i="3"/>
  <c r="L448" i="3"/>
  <c r="K448" i="3"/>
  <c r="J448" i="3"/>
  <c r="A448" i="3"/>
  <c r="M447" i="3"/>
  <c r="L447" i="3"/>
  <c r="K447" i="3"/>
  <c r="J447" i="3"/>
  <c r="A447" i="3"/>
  <c r="M446" i="3"/>
  <c r="L446" i="3"/>
  <c r="K446" i="3"/>
  <c r="J446" i="3"/>
  <c r="A446" i="3"/>
  <c r="M445" i="3"/>
  <c r="L445" i="3"/>
  <c r="K445" i="3"/>
  <c r="J445" i="3"/>
  <c r="A445" i="3"/>
  <c r="M444" i="3"/>
  <c r="L444" i="3"/>
  <c r="K444" i="3"/>
  <c r="J444" i="3"/>
  <c r="A444" i="3"/>
  <c r="M443" i="3"/>
  <c r="L443" i="3"/>
  <c r="K443" i="3"/>
  <c r="J443" i="3"/>
  <c r="A443" i="3"/>
  <c r="M442" i="3"/>
  <c r="L442" i="3"/>
  <c r="K442" i="3"/>
  <c r="J442" i="3"/>
  <c r="A442" i="3"/>
  <c r="M441" i="3"/>
  <c r="L441" i="3"/>
  <c r="K441" i="3"/>
  <c r="J441" i="3"/>
  <c r="A441" i="3"/>
  <c r="M440" i="3"/>
  <c r="L440" i="3"/>
  <c r="K440" i="3"/>
  <c r="J440" i="3"/>
  <c r="A440" i="3"/>
  <c r="M439" i="3"/>
  <c r="L439" i="3"/>
  <c r="K439" i="3"/>
  <c r="J439" i="3"/>
  <c r="A439" i="3"/>
  <c r="M438" i="3"/>
  <c r="L438" i="3"/>
  <c r="K438" i="3"/>
  <c r="J438" i="3"/>
  <c r="A438" i="3"/>
  <c r="M437" i="3"/>
  <c r="L437" i="3"/>
  <c r="K437" i="3"/>
  <c r="J437" i="3"/>
  <c r="A437" i="3"/>
  <c r="M436" i="3"/>
  <c r="L436" i="3"/>
  <c r="K436" i="3"/>
  <c r="J436" i="3"/>
  <c r="A436" i="3"/>
  <c r="M435" i="3"/>
  <c r="L435" i="3"/>
  <c r="K435" i="3"/>
  <c r="J435" i="3"/>
  <c r="A435" i="3"/>
  <c r="M434" i="3"/>
  <c r="L434" i="3"/>
  <c r="K434" i="3"/>
  <c r="J434" i="3"/>
  <c r="A434" i="3"/>
  <c r="M433" i="3"/>
  <c r="L433" i="3"/>
  <c r="K433" i="3"/>
  <c r="J433" i="3"/>
  <c r="A433" i="3"/>
  <c r="M432" i="3"/>
  <c r="L432" i="3"/>
  <c r="K432" i="3"/>
  <c r="J432" i="3"/>
  <c r="A432" i="3"/>
  <c r="M431" i="3"/>
  <c r="L431" i="3"/>
  <c r="K431" i="3"/>
  <c r="J431" i="3"/>
  <c r="A431" i="3"/>
  <c r="M430" i="3"/>
  <c r="L430" i="3"/>
  <c r="K430" i="3"/>
  <c r="J430" i="3"/>
  <c r="A430" i="3"/>
  <c r="M429" i="3"/>
  <c r="L429" i="3"/>
  <c r="K429" i="3"/>
  <c r="J429" i="3"/>
  <c r="A429" i="3"/>
  <c r="M428" i="3"/>
  <c r="L428" i="3"/>
  <c r="K428" i="3"/>
  <c r="J428" i="3"/>
  <c r="A428" i="3"/>
  <c r="M427" i="3"/>
  <c r="L427" i="3"/>
  <c r="K427" i="3"/>
  <c r="J427" i="3"/>
  <c r="A427" i="3"/>
  <c r="M426" i="3"/>
  <c r="L426" i="3"/>
  <c r="K426" i="3"/>
  <c r="J426" i="3"/>
  <c r="A426" i="3"/>
  <c r="M425" i="3"/>
  <c r="L425" i="3"/>
  <c r="K425" i="3"/>
  <c r="J425" i="3"/>
  <c r="A425" i="3"/>
  <c r="M424" i="3"/>
  <c r="L424" i="3"/>
  <c r="K424" i="3"/>
  <c r="J424" i="3"/>
  <c r="A424" i="3"/>
  <c r="M423" i="3"/>
  <c r="L423" i="3"/>
  <c r="K423" i="3"/>
  <c r="J423" i="3"/>
  <c r="A423" i="3"/>
  <c r="M422" i="3"/>
  <c r="L422" i="3"/>
  <c r="K422" i="3"/>
  <c r="J422" i="3"/>
  <c r="A422" i="3"/>
  <c r="M421" i="3"/>
  <c r="L421" i="3"/>
  <c r="K421" i="3"/>
  <c r="J421" i="3"/>
  <c r="A421" i="3"/>
  <c r="M420" i="3"/>
  <c r="L420" i="3"/>
  <c r="K420" i="3"/>
  <c r="J420" i="3"/>
  <c r="A420" i="3"/>
  <c r="M419" i="3"/>
  <c r="L419" i="3"/>
  <c r="K419" i="3"/>
  <c r="J419" i="3"/>
  <c r="A419" i="3"/>
  <c r="M418" i="3"/>
  <c r="L418" i="3"/>
  <c r="K418" i="3"/>
  <c r="J418" i="3"/>
  <c r="A418" i="3"/>
  <c r="M417" i="3"/>
  <c r="L417" i="3"/>
  <c r="K417" i="3"/>
  <c r="J417" i="3"/>
  <c r="A417" i="3"/>
  <c r="M416" i="3"/>
  <c r="L416" i="3"/>
  <c r="K416" i="3"/>
  <c r="J416" i="3"/>
  <c r="A416" i="3"/>
  <c r="M415" i="3"/>
  <c r="L415" i="3"/>
  <c r="K415" i="3"/>
  <c r="J415" i="3"/>
  <c r="A415" i="3"/>
  <c r="M414" i="3"/>
  <c r="L414" i="3"/>
  <c r="K414" i="3"/>
  <c r="J414" i="3"/>
  <c r="A414" i="3"/>
  <c r="M413" i="3"/>
  <c r="L413" i="3"/>
  <c r="K413" i="3"/>
  <c r="J413" i="3"/>
  <c r="A413" i="3"/>
  <c r="M412" i="3"/>
  <c r="L412" i="3"/>
  <c r="K412" i="3"/>
  <c r="J412" i="3"/>
  <c r="A412" i="3"/>
  <c r="M411" i="3"/>
  <c r="L411" i="3"/>
  <c r="K411" i="3"/>
  <c r="J411" i="3"/>
  <c r="A411" i="3"/>
  <c r="M410" i="3"/>
  <c r="L410" i="3"/>
  <c r="K410" i="3"/>
  <c r="J410" i="3"/>
  <c r="A410" i="3"/>
  <c r="M409" i="3"/>
  <c r="L409" i="3"/>
  <c r="K409" i="3"/>
  <c r="J409" i="3"/>
  <c r="A409" i="3"/>
  <c r="M408" i="3"/>
  <c r="L408" i="3"/>
  <c r="K408" i="3"/>
  <c r="J408" i="3"/>
  <c r="A408" i="3"/>
  <c r="M407" i="3"/>
  <c r="L407" i="3"/>
  <c r="K407" i="3"/>
  <c r="J407" i="3"/>
  <c r="A407" i="3"/>
  <c r="M406" i="3"/>
  <c r="L406" i="3"/>
  <c r="K406" i="3"/>
  <c r="J406" i="3"/>
  <c r="A406" i="3"/>
  <c r="M405" i="3"/>
  <c r="L405" i="3"/>
  <c r="K405" i="3"/>
  <c r="J405" i="3"/>
  <c r="A405" i="3"/>
  <c r="M404" i="3"/>
  <c r="L404" i="3"/>
  <c r="K404" i="3"/>
  <c r="J404" i="3"/>
  <c r="A404" i="3"/>
  <c r="M403" i="3"/>
  <c r="L403" i="3"/>
  <c r="K403" i="3"/>
  <c r="J403" i="3"/>
  <c r="A403" i="3"/>
  <c r="M402" i="3"/>
  <c r="L402" i="3"/>
  <c r="K402" i="3"/>
  <c r="J402" i="3"/>
  <c r="A402" i="3"/>
  <c r="M401" i="3"/>
  <c r="L401" i="3"/>
  <c r="K401" i="3"/>
  <c r="J401" i="3"/>
  <c r="A401" i="3"/>
  <c r="M400" i="3"/>
  <c r="L400" i="3"/>
  <c r="K400" i="3"/>
  <c r="J400" i="3"/>
  <c r="A400" i="3"/>
  <c r="M399" i="3"/>
  <c r="L399" i="3"/>
  <c r="K399" i="3"/>
  <c r="J399" i="3"/>
  <c r="A399" i="3"/>
  <c r="M398" i="3"/>
  <c r="L398" i="3"/>
  <c r="K398" i="3"/>
  <c r="J398" i="3"/>
  <c r="A398" i="3"/>
  <c r="M397" i="3"/>
  <c r="L397" i="3"/>
  <c r="K397" i="3"/>
  <c r="J397" i="3"/>
  <c r="A397" i="3"/>
  <c r="M396" i="3"/>
  <c r="L396" i="3"/>
  <c r="K396" i="3"/>
  <c r="J396" i="3"/>
  <c r="A396" i="3"/>
  <c r="M395" i="3"/>
  <c r="L395" i="3"/>
  <c r="K395" i="3"/>
  <c r="J395" i="3"/>
  <c r="A395" i="3"/>
  <c r="M394" i="3"/>
  <c r="L394" i="3"/>
  <c r="K394" i="3"/>
  <c r="J394" i="3"/>
  <c r="A394" i="3"/>
  <c r="M393" i="3"/>
  <c r="L393" i="3"/>
  <c r="K393" i="3"/>
  <c r="J393" i="3"/>
  <c r="A393" i="3"/>
  <c r="M392" i="3"/>
  <c r="L392" i="3"/>
  <c r="K392" i="3"/>
  <c r="J392" i="3"/>
  <c r="A392" i="3"/>
  <c r="M391" i="3"/>
  <c r="L391" i="3"/>
  <c r="K391" i="3"/>
  <c r="J391" i="3"/>
  <c r="A391" i="3"/>
  <c r="M390" i="3"/>
  <c r="L390" i="3"/>
  <c r="K390" i="3"/>
  <c r="J390" i="3"/>
  <c r="A390" i="3"/>
  <c r="M389" i="3"/>
  <c r="L389" i="3"/>
  <c r="K389" i="3"/>
  <c r="J389" i="3"/>
  <c r="A389" i="3"/>
  <c r="M388" i="3"/>
  <c r="L388" i="3"/>
  <c r="K388" i="3"/>
  <c r="J388" i="3"/>
  <c r="A388" i="3"/>
  <c r="M387" i="3"/>
  <c r="L387" i="3"/>
  <c r="K387" i="3"/>
  <c r="J387" i="3"/>
  <c r="A387" i="3"/>
  <c r="M386" i="3"/>
  <c r="L386" i="3"/>
  <c r="K386" i="3"/>
  <c r="J386" i="3"/>
  <c r="A386" i="3"/>
  <c r="M385" i="3"/>
  <c r="L385" i="3"/>
  <c r="K385" i="3"/>
  <c r="J385" i="3"/>
  <c r="A385" i="3"/>
  <c r="M384" i="3"/>
  <c r="L384" i="3"/>
  <c r="K384" i="3"/>
  <c r="J384" i="3"/>
  <c r="A384" i="3"/>
  <c r="M383" i="3"/>
  <c r="L383" i="3"/>
  <c r="K383" i="3"/>
  <c r="J383" i="3"/>
  <c r="A383" i="3"/>
  <c r="M382" i="3"/>
  <c r="L382" i="3"/>
  <c r="K382" i="3"/>
  <c r="J382" i="3"/>
  <c r="A382" i="3"/>
  <c r="M381" i="3"/>
  <c r="L381" i="3"/>
  <c r="K381" i="3"/>
  <c r="J381" i="3"/>
  <c r="A381" i="3"/>
  <c r="M380" i="3"/>
  <c r="L380" i="3"/>
  <c r="K380" i="3"/>
  <c r="J380" i="3"/>
  <c r="A380" i="3"/>
  <c r="M379" i="3"/>
  <c r="L379" i="3"/>
  <c r="K379" i="3"/>
  <c r="J379" i="3"/>
  <c r="A379" i="3"/>
  <c r="M378" i="3"/>
  <c r="L378" i="3"/>
  <c r="K378" i="3"/>
  <c r="J378" i="3"/>
  <c r="A378" i="3"/>
  <c r="M377" i="3"/>
  <c r="L377" i="3"/>
  <c r="K377" i="3"/>
  <c r="J377" i="3"/>
  <c r="A377" i="3"/>
  <c r="M376" i="3"/>
  <c r="L376" i="3"/>
  <c r="K376" i="3"/>
  <c r="J376" i="3"/>
  <c r="A376" i="3"/>
  <c r="M375" i="3"/>
  <c r="L375" i="3"/>
  <c r="K375" i="3"/>
  <c r="J375" i="3"/>
  <c r="A375" i="3"/>
  <c r="M374" i="3"/>
  <c r="L374" i="3"/>
  <c r="K374" i="3"/>
  <c r="J374" i="3"/>
  <c r="A374" i="3"/>
  <c r="M373" i="3"/>
  <c r="L373" i="3"/>
  <c r="K373" i="3"/>
  <c r="J373" i="3"/>
  <c r="A373" i="3"/>
  <c r="M372" i="3"/>
  <c r="L372" i="3"/>
  <c r="K372" i="3"/>
  <c r="J372" i="3"/>
  <c r="A372" i="3"/>
  <c r="M371" i="3"/>
  <c r="L371" i="3"/>
  <c r="K371" i="3"/>
  <c r="J371" i="3"/>
  <c r="A371" i="3"/>
  <c r="M370" i="3"/>
  <c r="L370" i="3"/>
  <c r="K370" i="3"/>
  <c r="J370" i="3"/>
  <c r="A370" i="3"/>
  <c r="M369" i="3"/>
  <c r="L369" i="3"/>
  <c r="K369" i="3"/>
  <c r="J369" i="3"/>
  <c r="A369" i="3"/>
  <c r="M368" i="3"/>
  <c r="L368" i="3"/>
  <c r="K368" i="3"/>
  <c r="J368" i="3"/>
  <c r="A368" i="3"/>
  <c r="M367" i="3"/>
  <c r="L367" i="3"/>
  <c r="K367" i="3"/>
  <c r="J367" i="3"/>
  <c r="A367" i="3"/>
  <c r="M366" i="3"/>
  <c r="L366" i="3"/>
  <c r="K366" i="3"/>
  <c r="J366" i="3"/>
  <c r="A366" i="3"/>
  <c r="M365" i="3"/>
  <c r="L365" i="3"/>
  <c r="K365" i="3"/>
  <c r="J365" i="3"/>
  <c r="A365" i="3"/>
  <c r="M364" i="3"/>
  <c r="L364" i="3"/>
  <c r="K364" i="3"/>
  <c r="J364" i="3"/>
  <c r="A364" i="3"/>
  <c r="M363" i="3"/>
  <c r="L363" i="3"/>
  <c r="K363" i="3"/>
  <c r="J363" i="3"/>
  <c r="A363" i="3"/>
  <c r="M362" i="3"/>
  <c r="L362" i="3"/>
  <c r="K362" i="3"/>
  <c r="J362" i="3"/>
  <c r="A362" i="3"/>
  <c r="M361" i="3"/>
  <c r="L361" i="3"/>
  <c r="K361" i="3"/>
  <c r="J361" i="3"/>
  <c r="A361" i="3"/>
  <c r="M360" i="3"/>
  <c r="L360" i="3"/>
  <c r="K360" i="3"/>
  <c r="J360" i="3"/>
  <c r="A360" i="3"/>
  <c r="M359" i="3"/>
  <c r="L359" i="3"/>
  <c r="K359" i="3"/>
  <c r="J359" i="3"/>
  <c r="A359" i="3"/>
  <c r="M358" i="3"/>
  <c r="L358" i="3"/>
  <c r="K358" i="3"/>
  <c r="J358" i="3"/>
  <c r="A358" i="3"/>
  <c r="M357" i="3"/>
  <c r="L357" i="3"/>
  <c r="K357" i="3"/>
  <c r="J357" i="3"/>
  <c r="A357" i="3"/>
  <c r="M356" i="3"/>
  <c r="L356" i="3"/>
  <c r="K356" i="3"/>
  <c r="J356" i="3"/>
  <c r="A356" i="3"/>
  <c r="M355" i="3"/>
  <c r="L355" i="3"/>
  <c r="K355" i="3"/>
  <c r="J355" i="3"/>
  <c r="A355" i="3"/>
  <c r="M354" i="3"/>
  <c r="L354" i="3"/>
  <c r="K354" i="3"/>
  <c r="J354" i="3"/>
  <c r="A354" i="3"/>
  <c r="M353" i="3"/>
  <c r="L353" i="3"/>
  <c r="K353" i="3"/>
  <c r="J353" i="3"/>
  <c r="A353" i="3"/>
  <c r="M352" i="3"/>
  <c r="L352" i="3"/>
  <c r="K352" i="3"/>
  <c r="J352" i="3"/>
  <c r="A352" i="3"/>
  <c r="M351" i="3"/>
  <c r="L351" i="3"/>
  <c r="K351" i="3"/>
  <c r="J351" i="3"/>
  <c r="A351" i="3"/>
  <c r="M350" i="3"/>
  <c r="L350" i="3"/>
  <c r="K350" i="3"/>
  <c r="J350" i="3"/>
  <c r="A350" i="3"/>
  <c r="M349" i="3"/>
  <c r="L349" i="3"/>
  <c r="K349" i="3"/>
  <c r="J349" i="3"/>
  <c r="A349" i="3"/>
  <c r="M348" i="3"/>
  <c r="L348" i="3"/>
  <c r="K348" i="3"/>
  <c r="J348" i="3"/>
  <c r="A348" i="3"/>
  <c r="M347" i="3"/>
  <c r="L347" i="3"/>
  <c r="K347" i="3"/>
  <c r="J347" i="3"/>
  <c r="A347" i="3"/>
  <c r="M346" i="3"/>
  <c r="L346" i="3"/>
  <c r="K346" i="3"/>
  <c r="J346" i="3"/>
  <c r="A346" i="3"/>
  <c r="M345" i="3"/>
  <c r="L345" i="3"/>
  <c r="K345" i="3"/>
  <c r="J345" i="3"/>
  <c r="A345" i="3"/>
  <c r="M344" i="3"/>
  <c r="L344" i="3"/>
  <c r="K344" i="3"/>
  <c r="J344" i="3"/>
  <c r="A344" i="3"/>
  <c r="M343" i="3"/>
  <c r="L343" i="3"/>
  <c r="K343" i="3"/>
  <c r="J343" i="3"/>
  <c r="A343" i="3"/>
  <c r="M342" i="3"/>
  <c r="L342" i="3"/>
  <c r="K342" i="3"/>
  <c r="J342" i="3"/>
  <c r="A342" i="3"/>
  <c r="M341" i="3"/>
  <c r="L341" i="3"/>
  <c r="K341" i="3"/>
  <c r="J341" i="3"/>
  <c r="A341" i="3"/>
  <c r="M340" i="3"/>
  <c r="L340" i="3"/>
  <c r="K340" i="3"/>
  <c r="J340" i="3"/>
  <c r="A340" i="3"/>
  <c r="M339" i="3"/>
  <c r="L339" i="3"/>
  <c r="K339" i="3"/>
  <c r="J339" i="3"/>
  <c r="A339" i="3"/>
  <c r="M338" i="3"/>
  <c r="L338" i="3"/>
  <c r="K338" i="3"/>
  <c r="J338" i="3"/>
  <c r="A338" i="3"/>
  <c r="M337" i="3"/>
  <c r="L337" i="3"/>
  <c r="K337" i="3"/>
  <c r="J337" i="3"/>
  <c r="A337" i="3"/>
  <c r="M336" i="3"/>
  <c r="L336" i="3"/>
  <c r="K336" i="3"/>
  <c r="J336" i="3"/>
  <c r="A336" i="3"/>
  <c r="M335" i="3"/>
  <c r="L335" i="3"/>
  <c r="K335" i="3"/>
  <c r="J335" i="3"/>
  <c r="A335" i="3"/>
  <c r="M334" i="3"/>
  <c r="L334" i="3"/>
  <c r="K334" i="3"/>
  <c r="J334" i="3"/>
  <c r="A334" i="3"/>
  <c r="M333" i="3"/>
  <c r="L333" i="3"/>
  <c r="K333" i="3"/>
  <c r="J333" i="3"/>
  <c r="A333" i="3"/>
  <c r="M332" i="3"/>
  <c r="L332" i="3"/>
  <c r="K332" i="3"/>
  <c r="J332" i="3"/>
  <c r="A332" i="3"/>
  <c r="M331" i="3"/>
  <c r="L331" i="3"/>
  <c r="K331" i="3"/>
  <c r="J331" i="3"/>
  <c r="A331" i="3"/>
  <c r="M330" i="3"/>
  <c r="L330" i="3"/>
  <c r="K330" i="3"/>
  <c r="J330" i="3"/>
  <c r="A330" i="3"/>
  <c r="M329" i="3"/>
  <c r="L329" i="3"/>
  <c r="K329" i="3"/>
  <c r="J329" i="3"/>
  <c r="A329" i="3"/>
  <c r="M328" i="3"/>
  <c r="L328" i="3"/>
  <c r="K328" i="3"/>
  <c r="J328" i="3"/>
  <c r="A328" i="3"/>
  <c r="M327" i="3"/>
  <c r="L327" i="3"/>
  <c r="K327" i="3"/>
  <c r="J327" i="3"/>
  <c r="A327" i="3"/>
  <c r="M326" i="3"/>
  <c r="L326" i="3"/>
  <c r="K326" i="3"/>
  <c r="J326" i="3"/>
  <c r="A326" i="3"/>
  <c r="M325" i="3"/>
  <c r="L325" i="3"/>
  <c r="K325" i="3"/>
  <c r="J325" i="3"/>
  <c r="A325" i="3"/>
  <c r="M324" i="3"/>
  <c r="L324" i="3"/>
  <c r="K324" i="3"/>
  <c r="J324" i="3"/>
  <c r="A324" i="3"/>
  <c r="M323" i="3"/>
  <c r="L323" i="3"/>
  <c r="K323" i="3"/>
  <c r="J323" i="3"/>
  <c r="A323" i="3"/>
  <c r="M322" i="3"/>
  <c r="L322" i="3"/>
  <c r="K322" i="3"/>
  <c r="J322" i="3"/>
  <c r="A322" i="3"/>
  <c r="M321" i="3"/>
  <c r="L321" i="3"/>
  <c r="K321" i="3"/>
  <c r="J321" i="3"/>
  <c r="A321" i="3"/>
  <c r="M320" i="3"/>
  <c r="L320" i="3"/>
  <c r="K320" i="3"/>
  <c r="J320" i="3"/>
  <c r="A320" i="3"/>
  <c r="M319" i="3"/>
  <c r="L319" i="3"/>
  <c r="K319" i="3"/>
  <c r="J319" i="3"/>
  <c r="A319" i="3"/>
  <c r="M318" i="3"/>
  <c r="L318" i="3"/>
  <c r="K318" i="3"/>
  <c r="J318" i="3"/>
  <c r="A318" i="3"/>
  <c r="M317" i="3"/>
  <c r="L317" i="3"/>
  <c r="K317" i="3"/>
  <c r="J317" i="3"/>
  <c r="A317" i="3"/>
  <c r="M316" i="3"/>
  <c r="L316" i="3"/>
  <c r="K316" i="3"/>
  <c r="J316" i="3"/>
  <c r="A316" i="3"/>
  <c r="M315" i="3"/>
  <c r="L315" i="3"/>
  <c r="K315" i="3"/>
  <c r="J315" i="3"/>
  <c r="A315" i="3"/>
  <c r="M314" i="3"/>
  <c r="L314" i="3"/>
  <c r="K314" i="3"/>
  <c r="J314" i="3"/>
  <c r="A314" i="3"/>
  <c r="M313" i="3"/>
  <c r="L313" i="3"/>
  <c r="K313" i="3"/>
  <c r="J313" i="3"/>
  <c r="A313" i="3"/>
  <c r="M312" i="3"/>
  <c r="L312" i="3"/>
  <c r="K312" i="3"/>
  <c r="J312" i="3"/>
  <c r="A312" i="3"/>
  <c r="M311" i="3"/>
  <c r="L311" i="3"/>
  <c r="K311" i="3"/>
  <c r="J311" i="3"/>
  <c r="A311" i="3"/>
  <c r="M310" i="3"/>
  <c r="L310" i="3"/>
  <c r="K310" i="3"/>
  <c r="J310" i="3"/>
  <c r="A310" i="3"/>
  <c r="M309" i="3"/>
  <c r="L309" i="3"/>
  <c r="K309" i="3"/>
  <c r="J309" i="3"/>
  <c r="A309" i="3"/>
  <c r="M308" i="3"/>
  <c r="L308" i="3"/>
  <c r="K308" i="3"/>
  <c r="J308" i="3"/>
  <c r="A308" i="3"/>
  <c r="M307" i="3"/>
  <c r="L307" i="3"/>
  <c r="K307" i="3"/>
  <c r="J307" i="3"/>
  <c r="A307" i="3"/>
  <c r="M306" i="3"/>
  <c r="L306" i="3"/>
  <c r="K306" i="3"/>
  <c r="J306" i="3"/>
  <c r="A306" i="3"/>
  <c r="M305" i="3"/>
  <c r="L305" i="3"/>
  <c r="K305" i="3"/>
  <c r="J305" i="3"/>
  <c r="A305" i="3"/>
  <c r="M304" i="3"/>
  <c r="L304" i="3"/>
  <c r="K304" i="3"/>
  <c r="J304" i="3"/>
  <c r="A304" i="3"/>
  <c r="M303" i="3"/>
  <c r="L303" i="3"/>
  <c r="K303" i="3"/>
  <c r="J303" i="3"/>
  <c r="A303" i="3"/>
  <c r="M302" i="3"/>
  <c r="L302" i="3"/>
  <c r="K302" i="3"/>
  <c r="J302" i="3"/>
  <c r="A302" i="3"/>
  <c r="M301" i="3"/>
  <c r="L301" i="3"/>
  <c r="K301" i="3"/>
  <c r="J301" i="3"/>
  <c r="A301" i="3"/>
  <c r="M300" i="3"/>
  <c r="L300" i="3"/>
  <c r="K300" i="3"/>
  <c r="J300" i="3"/>
  <c r="A300" i="3"/>
  <c r="M299" i="3"/>
  <c r="L299" i="3"/>
  <c r="K299" i="3"/>
  <c r="J299" i="3"/>
  <c r="A299" i="3"/>
  <c r="M298" i="3"/>
  <c r="L298" i="3"/>
  <c r="K298" i="3"/>
  <c r="J298" i="3"/>
  <c r="A298" i="3"/>
  <c r="M297" i="3"/>
  <c r="L297" i="3"/>
  <c r="K297" i="3"/>
  <c r="J297" i="3"/>
  <c r="A297" i="3"/>
  <c r="M296" i="3"/>
  <c r="L296" i="3"/>
  <c r="K296" i="3"/>
  <c r="J296" i="3"/>
  <c r="A296" i="3"/>
  <c r="M295" i="3"/>
  <c r="L295" i="3"/>
  <c r="K295" i="3"/>
  <c r="J295" i="3"/>
  <c r="A295" i="3"/>
  <c r="M294" i="3"/>
  <c r="L294" i="3"/>
  <c r="K294" i="3"/>
  <c r="J294" i="3"/>
  <c r="A294" i="3"/>
  <c r="M293" i="3"/>
  <c r="L293" i="3"/>
  <c r="K293" i="3"/>
  <c r="J293" i="3"/>
  <c r="A293" i="3"/>
  <c r="M292" i="3"/>
  <c r="L292" i="3"/>
  <c r="K292" i="3"/>
  <c r="J292" i="3"/>
  <c r="A292" i="3"/>
  <c r="M291" i="3"/>
  <c r="L291" i="3"/>
  <c r="K291" i="3"/>
  <c r="J291" i="3"/>
  <c r="A291" i="3"/>
  <c r="M290" i="3"/>
  <c r="L290" i="3"/>
  <c r="K290" i="3"/>
  <c r="J290" i="3"/>
  <c r="A290" i="3"/>
  <c r="M289" i="3"/>
  <c r="L289" i="3"/>
  <c r="K289" i="3"/>
  <c r="J289" i="3"/>
  <c r="A289" i="3"/>
  <c r="M288" i="3"/>
  <c r="L288" i="3"/>
  <c r="K288" i="3"/>
  <c r="J288" i="3"/>
  <c r="A288" i="3"/>
  <c r="M287" i="3"/>
  <c r="L287" i="3"/>
  <c r="K287" i="3"/>
  <c r="J287" i="3"/>
  <c r="A287" i="3"/>
  <c r="M286" i="3"/>
  <c r="L286" i="3"/>
  <c r="K286" i="3"/>
  <c r="J286" i="3"/>
  <c r="A286" i="3"/>
  <c r="M285" i="3"/>
  <c r="L285" i="3"/>
  <c r="K285" i="3"/>
  <c r="J285" i="3"/>
  <c r="A285" i="3"/>
  <c r="M284" i="3"/>
  <c r="L284" i="3"/>
  <c r="K284" i="3"/>
  <c r="J284" i="3"/>
  <c r="A284" i="3"/>
  <c r="M283" i="3"/>
  <c r="L283" i="3"/>
  <c r="K283" i="3"/>
  <c r="J283" i="3"/>
  <c r="A283" i="3"/>
  <c r="M282" i="3"/>
  <c r="L282" i="3"/>
  <c r="K282" i="3"/>
  <c r="J282" i="3"/>
  <c r="A282" i="3"/>
  <c r="M281" i="3"/>
  <c r="L281" i="3"/>
  <c r="K281" i="3"/>
  <c r="J281" i="3"/>
  <c r="A281" i="3"/>
  <c r="M280" i="3"/>
  <c r="L280" i="3"/>
  <c r="K280" i="3"/>
  <c r="J280" i="3"/>
  <c r="A280" i="3"/>
  <c r="M279" i="3"/>
  <c r="L279" i="3"/>
  <c r="K279" i="3"/>
  <c r="J279" i="3"/>
  <c r="A279" i="3"/>
  <c r="M278" i="3"/>
  <c r="L278" i="3"/>
  <c r="K278" i="3"/>
  <c r="J278" i="3"/>
  <c r="A278" i="3"/>
  <c r="M277" i="3"/>
  <c r="L277" i="3"/>
  <c r="K277" i="3"/>
  <c r="J277" i="3"/>
  <c r="A277" i="3"/>
  <c r="M276" i="3"/>
  <c r="L276" i="3"/>
  <c r="K276" i="3"/>
  <c r="J276" i="3"/>
  <c r="A276" i="3"/>
  <c r="M275" i="3"/>
  <c r="L275" i="3"/>
  <c r="K275" i="3"/>
  <c r="J275" i="3"/>
  <c r="A275" i="3"/>
  <c r="M274" i="3"/>
  <c r="L274" i="3"/>
  <c r="K274" i="3"/>
  <c r="J274" i="3"/>
  <c r="A274" i="3"/>
  <c r="M273" i="3"/>
  <c r="L273" i="3"/>
  <c r="K273" i="3"/>
  <c r="J273" i="3"/>
  <c r="A273" i="3"/>
  <c r="M272" i="3"/>
  <c r="L272" i="3"/>
  <c r="K272" i="3"/>
  <c r="J272" i="3"/>
  <c r="A272" i="3"/>
  <c r="M271" i="3"/>
  <c r="L271" i="3"/>
  <c r="K271" i="3"/>
  <c r="J271" i="3"/>
  <c r="A271" i="3"/>
  <c r="M270" i="3"/>
  <c r="L270" i="3"/>
  <c r="K270" i="3"/>
  <c r="J270" i="3"/>
  <c r="A270" i="3"/>
  <c r="M269" i="3"/>
  <c r="L269" i="3"/>
  <c r="K269" i="3"/>
  <c r="J269" i="3"/>
  <c r="A269" i="3"/>
  <c r="M268" i="3"/>
  <c r="L268" i="3"/>
  <c r="K268" i="3"/>
  <c r="J268" i="3"/>
  <c r="A268" i="3"/>
  <c r="M267" i="3"/>
  <c r="L267" i="3"/>
  <c r="K267" i="3"/>
  <c r="J267" i="3"/>
  <c r="A267" i="3"/>
  <c r="M266" i="3"/>
  <c r="L266" i="3"/>
  <c r="K266" i="3"/>
  <c r="J266" i="3"/>
  <c r="A266" i="3"/>
  <c r="M265" i="3"/>
  <c r="L265" i="3"/>
  <c r="K265" i="3"/>
  <c r="J265" i="3"/>
  <c r="A265" i="3"/>
  <c r="M264" i="3"/>
  <c r="L264" i="3"/>
  <c r="K264" i="3"/>
  <c r="J264" i="3"/>
  <c r="A264" i="3"/>
  <c r="M263" i="3"/>
  <c r="L263" i="3"/>
  <c r="K263" i="3"/>
  <c r="J263" i="3"/>
  <c r="A263" i="3"/>
  <c r="M262" i="3"/>
  <c r="L262" i="3"/>
  <c r="K262" i="3"/>
  <c r="J262" i="3"/>
  <c r="A262" i="3"/>
  <c r="M261" i="3"/>
  <c r="L261" i="3"/>
  <c r="K261" i="3"/>
  <c r="J261" i="3"/>
  <c r="A261" i="3"/>
  <c r="M260" i="3"/>
  <c r="L260" i="3"/>
  <c r="K260" i="3"/>
  <c r="J260" i="3"/>
  <c r="A260" i="3"/>
  <c r="M259" i="3"/>
  <c r="L259" i="3"/>
  <c r="K259" i="3"/>
  <c r="J259" i="3"/>
  <c r="A259" i="3"/>
  <c r="M258" i="3"/>
  <c r="L258" i="3"/>
  <c r="K258" i="3"/>
  <c r="J258" i="3"/>
  <c r="A258" i="3"/>
  <c r="M257" i="3"/>
  <c r="L257" i="3"/>
  <c r="K257" i="3"/>
  <c r="J257" i="3"/>
  <c r="A257" i="3"/>
  <c r="M256" i="3"/>
  <c r="L256" i="3"/>
  <c r="K256" i="3"/>
  <c r="J256" i="3"/>
  <c r="A256" i="3"/>
  <c r="M255" i="3"/>
  <c r="L255" i="3"/>
  <c r="K255" i="3"/>
  <c r="J255" i="3"/>
  <c r="A255" i="3"/>
  <c r="M254" i="3"/>
  <c r="L254" i="3"/>
  <c r="K254" i="3"/>
  <c r="J254" i="3"/>
  <c r="A254" i="3"/>
  <c r="M253" i="3"/>
  <c r="L253" i="3"/>
  <c r="K253" i="3"/>
  <c r="J253" i="3"/>
  <c r="A253" i="3"/>
  <c r="M252" i="3"/>
  <c r="L252" i="3"/>
  <c r="K252" i="3"/>
  <c r="J252" i="3"/>
  <c r="A252" i="3"/>
  <c r="M251" i="3"/>
  <c r="L251" i="3"/>
  <c r="K251" i="3"/>
  <c r="J251" i="3"/>
  <c r="A251" i="3"/>
  <c r="M250" i="3"/>
  <c r="L250" i="3"/>
  <c r="K250" i="3"/>
  <c r="J250" i="3"/>
  <c r="A250" i="3"/>
  <c r="M249" i="3"/>
  <c r="L249" i="3"/>
  <c r="K249" i="3"/>
  <c r="J249" i="3"/>
  <c r="A249" i="3"/>
  <c r="M248" i="3"/>
  <c r="L248" i="3"/>
  <c r="K248" i="3"/>
  <c r="J248" i="3"/>
  <c r="A248" i="3"/>
  <c r="M247" i="3"/>
  <c r="L247" i="3"/>
  <c r="K247" i="3"/>
  <c r="J247" i="3"/>
  <c r="A247" i="3"/>
  <c r="M246" i="3"/>
  <c r="L246" i="3"/>
  <c r="K246" i="3"/>
  <c r="J246" i="3"/>
  <c r="A246" i="3"/>
  <c r="M245" i="3"/>
  <c r="L245" i="3"/>
  <c r="K245" i="3"/>
  <c r="J245" i="3"/>
  <c r="A245" i="3"/>
  <c r="M244" i="3"/>
  <c r="L244" i="3"/>
  <c r="K244" i="3"/>
  <c r="J244" i="3"/>
  <c r="A244" i="3"/>
  <c r="M243" i="3"/>
  <c r="L243" i="3"/>
  <c r="K243" i="3"/>
  <c r="J243" i="3"/>
  <c r="A243" i="3"/>
  <c r="M242" i="3"/>
  <c r="L242" i="3"/>
  <c r="K242" i="3"/>
  <c r="J242" i="3"/>
  <c r="A242" i="3"/>
  <c r="M241" i="3"/>
  <c r="L241" i="3"/>
  <c r="K241" i="3"/>
  <c r="J241" i="3"/>
  <c r="A241" i="3"/>
  <c r="M240" i="3"/>
  <c r="L240" i="3"/>
  <c r="K240" i="3"/>
  <c r="J240" i="3"/>
  <c r="A240" i="3"/>
  <c r="M239" i="3"/>
  <c r="L239" i="3"/>
  <c r="K239" i="3"/>
  <c r="J239" i="3"/>
  <c r="A239" i="3"/>
  <c r="M238" i="3"/>
  <c r="L238" i="3"/>
  <c r="K238" i="3"/>
  <c r="J238" i="3"/>
  <c r="A238" i="3"/>
  <c r="M237" i="3"/>
  <c r="L237" i="3"/>
  <c r="K237" i="3"/>
  <c r="J237" i="3"/>
  <c r="A237" i="3"/>
  <c r="M236" i="3"/>
  <c r="L236" i="3"/>
  <c r="K236" i="3"/>
  <c r="J236" i="3"/>
  <c r="A236" i="3"/>
  <c r="M235" i="3"/>
  <c r="L235" i="3"/>
  <c r="K235" i="3"/>
  <c r="J235" i="3"/>
  <c r="A235" i="3"/>
  <c r="M234" i="3"/>
  <c r="L234" i="3"/>
  <c r="K234" i="3"/>
  <c r="J234" i="3"/>
  <c r="A234" i="3"/>
  <c r="M233" i="3"/>
  <c r="L233" i="3"/>
  <c r="K233" i="3"/>
  <c r="J233" i="3"/>
  <c r="A233" i="3"/>
  <c r="M232" i="3"/>
  <c r="L232" i="3"/>
  <c r="K232" i="3"/>
  <c r="J232" i="3"/>
  <c r="A232" i="3"/>
  <c r="M231" i="3"/>
  <c r="L231" i="3"/>
  <c r="K231" i="3"/>
  <c r="J231" i="3"/>
  <c r="A231" i="3"/>
  <c r="M230" i="3"/>
  <c r="L230" i="3"/>
  <c r="K230" i="3"/>
  <c r="J230" i="3"/>
  <c r="A230" i="3"/>
  <c r="M229" i="3"/>
  <c r="L229" i="3"/>
  <c r="K229" i="3"/>
  <c r="J229" i="3"/>
  <c r="A229" i="3"/>
  <c r="M228" i="3"/>
  <c r="L228" i="3"/>
  <c r="K228" i="3"/>
  <c r="J228" i="3"/>
  <c r="A228" i="3"/>
  <c r="M227" i="3"/>
  <c r="L227" i="3"/>
  <c r="K227" i="3"/>
  <c r="J227" i="3"/>
  <c r="A227" i="3"/>
  <c r="M226" i="3"/>
  <c r="L226" i="3"/>
  <c r="K226" i="3"/>
  <c r="J226" i="3"/>
  <c r="A226" i="3"/>
  <c r="M225" i="3"/>
  <c r="L225" i="3"/>
  <c r="K225" i="3"/>
  <c r="J225" i="3"/>
  <c r="A225" i="3"/>
  <c r="M224" i="3"/>
  <c r="L224" i="3"/>
  <c r="K224" i="3"/>
  <c r="J224" i="3"/>
  <c r="A224" i="3"/>
  <c r="M223" i="3"/>
  <c r="L223" i="3"/>
  <c r="K223" i="3"/>
  <c r="J223" i="3"/>
  <c r="A223" i="3"/>
  <c r="M222" i="3"/>
  <c r="L222" i="3"/>
  <c r="K222" i="3"/>
  <c r="J222" i="3"/>
  <c r="A222" i="3"/>
  <c r="M221" i="3"/>
  <c r="L221" i="3"/>
  <c r="K221" i="3"/>
  <c r="J221" i="3"/>
  <c r="A221" i="3"/>
  <c r="M220" i="3"/>
  <c r="L220" i="3"/>
  <c r="K220" i="3"/>
  <c r="J220" i="3"/>
  <c r="A220" i="3"/>
  <c r="M219" i="3"/>
  <c r="L219" i="3"/>
  <c r="K219" i="3"/>
  <c r="J219" i="3"/>
  <c r="A219" i="3"/>
  <c r="M218" i="3"/>
  <c r="L218" i="3"/>
  <c r="K218" i="3"/>
  <c r="J218" i="3"/>
  <c r="A218" i="3"/>
  <c r="M217" i="3"/>
  <c r="L217" i="3"/>
  <c r="K217" i="3"/>
  <c r="J217" i="3"/>
  <c r="A217" i="3"/>
  <c r="M216" i="3"/>
  <c r="L216" i="3"/>
  <c r="K216" i="3"/>
  <c r="J216" i="3"/>
  <c r="A216" i="3"/>
  <c r="M215" i="3"/>
  <c r="L215" i="3"/>
  <c r="K215" i="3"/>
  <c r="J215" i="3"/>
  <c r="A215" i="3"/>
  <c r="M214" i="3"/>
  <c r="L214" i="3"/>
  <c r="K214" i="3"/>
  <c r="J214" i="3"/>
  <c r="A214" i="3"/>
  <c r="M213" i="3"/>
  <c r="L213" i="3"/>
  <c r="K213" i="3"/>
  <c r="J213" i="3"/>
  <c r="A213" i="3"/>
  <c r="M212" i="3"/>
  <c r="L212" i="3"/>
  <c r="K212" i="3"/>
  <c r="J212" i="3"/>
  <c r="A212" i="3"/>
  <c r="M211" i="3"/>
  <c r="L211" i="3"/>
  <c r="K211" i="3"/>
  <c r="J211" i="3"/>
  <c r="A211" i="3"/>
  <c r="M210" i="3"/>
  <c r="L210" i="3"/>
  <c r="K210" i="3"/>
  <c r="J210" i="3"/>
  <c r="A210" i="3"/>
  <c r="M209" i="3"/>
  <c r="L209" i="3"/>
  <c r="K209" i="3"/>
  <c r="J209" i="3"/>
  <c r="A209" i="3"/>
  <c r="M208" i="3"/>
  <c r="L208" i="3"/>
  <c r="K208" i="3"/>
  <c r="J208" i="3"/>
  <c r="A208" i="3"/>
  <c r="M207" i="3"/>
  <c r="L207" i="3"/>
  <c r="K207" i="3"/>
  <c r="J207" i="3"/>
  <c r="A207" i="3"/>
  <c r="M206" i="3"/>
  <c r="L206" i="3"/>
  <c r="K206" i="3"/>
  <c r="J206" i="3"/>
  <c r="A206" i="3"/>
  <c r="M205" i="3"/>
  <c r="L205" i="3"/>
  <c r="K205" i="3"/>
  <c r="J205" i="3"/>
  <c r="A205" i="3"/>
  <c r="M204" i="3"/>
  <c r="L204" i="3"/>
  <c r="K204" i="3"/>
  <c r="J204" i="3"/>
  <c r="A204" i="3"/>
  <c r="M203" i="3"/>
  <c r="L203" i="3"/>
  <c r="K203" i="3"/>
  <c r="J203" i="3"/>
  <c r="A203" i="3"/>
  <c r="M202" i="3"/>
  <c r="L202" i="3"/>
  <c r="K202" i="3"/>
  <c r="J202" i="3"/>
  <c r="A202" i="3"/>
  <c r="M201" i="3"/>
  <c r="L201" i="3"/>
  <c r="K201" i="3"/>
  <c r="J201" i="3"/>
  <c r="A201" i="3"/>
  <c r="M200" i="3"/>
  <c r="L200" i="3"/>
  <c r="K200" i="3"/>
  <c r="J200" i="3"/>
  <c r="A200" i="3"/>
  <c r="M199" i="3"/>
  <c r="L199" i="3"/>
  <c r="K199" i="3"/>
  <c r="J199" i="3"/>
  <c r="A199" i="3"/>
  <c r="M198" i="3"/>
  <c r="L198" i="3"/>
  <c r="K198" i="3"/>
  <c r="J198" i="3"/>
  <c r="A198" i="3"/>
  <c r="M197" i="3"/>
  <c r="L197" i="3"/>
  <c r="K197" i="3"/>
  <c r="J197" i="3"/>
  <c r="A197" i="3"/>
  <c r="M196" i="3"/>
  <c r="L196" i="3"/>
  <c r="K196" i="3"/>
  <c r="J196" i="3"/>
  <c r="A196" i="3"/>
  <c r="M195" i="3"/>
  <c r="L195" i="3"/>
  <c r="K195" i="3"/>
  <c r="J195" i="3"/>
  <c r="A195" i="3"/>
  <c r="M194" i="3"/>
  <c r="L194" i="3"/>
  <c r="K194" i="3"/>
  <c r="J194" i="3"/>
  <c r="A194" i="3"/>
  <c r="M193" i="3"/>
  <c r="L193" i="3"/>
  <c r="K193" i="3"/>
  <c r="J193" i="3"/>
  <c r="A193" i="3"/>
  <c r="M192" i="3"/>
  <c r="L192" i="3"/>
  <c r="K192" i="3"/>
  <c r="J192" i="3"/>
  <c r="A192" i="3"/>
  <c r="M191" i="3"/>
  <c r="L191" i="3"/>
  <c r="K191" i="3"/>
  <c r="J191" i="3"/>
  <c r="A191" i="3"/>
  <c r="M190" i="3"/>
  <c r="L190" i="3"/>
  <c r="K190" i="3"/>
  <c r="J190" i="3"/>
  <c r="A190" i="3"/>
  <c r="M189" i="3"/>
  <c r="L189" i="3"/>
  <c r="K189" i="3"/>
  <c r="J189" i="3"/>
  <c r="A189" i="3"/>
  <c r="M188" i="3"/>
  <c r="L188" i="3"/>
  <c r="K188" i="3"/>
  <c r="J188" i="3"/>
  <c r="A188" i="3"/>
  <c r="M187" i="3"/>
  <c r="L187" i="3"/>
  <c r="K187" i="3"/>
  <c r="J187" i="3"/>
  <c r="A187" i="3"/>
  <c r="M186" i="3"/>
  <c r="L186" i="3"/>
  <c r="K186" i="3"/>
  <c r="J186" i="3"/>
  <c r="A186" i="3"/>
  <c r="M185" i="3"/>
  <c r="L185" i="3"/>
  <c r="K185" i="3"/>
  <c r="J185" i="3"/>
  <c r="A185" i="3"/>
  <c r="M184" i="3"/>
  <c r="L184" i="3"/>
  <c r="K184" i="3"/>
  <c r="J184" i="3"/>
  <c r="A184" i="3"/>
  <c r="M183" i="3"/>
  <c r="L183" i="3"/>
  <c r="K183" i="3"/>
  <c r="J183" i="3"/>
  <c r="A183" i="3"/>
  <c r="M182" i="3"/>
  <c r="L182" i="3"/>
  <c r="K182" i="3"/>
  <c r="J182" i="3"/>
  <c r="A182" i="3"/>
  <c r="M181" i="3"/>
  <c r="L181" i="3"/>
  <c r="K181" i="3"/>
  <c r="J181" i="3"/>
  <c r="A181" i="3"/>
  <c r="M180" i="3"/>
  <c r="L180" i="3"/>
  <c r="K180" i="3"/>
  <c r="J180" i="3"/>
  <c r="A180" i="3"/>
  <c r="M179" i="3"/>
  <c r="L179" i="3"/>
  <c r="K179" i="3"/>
  <c r="J179" i="3"/>
  <c r="A179" i="3"/>
  <c r="M178" i="3"/>
  <c r="L178" i="3"/>
  <c r="K178" i="3"/>
  <c r="J178" i="3"/>
  <c r="A178" i="3"/>
  <c r="M177" i="3"/>
  <c r="L177" i="3"/>
  <c r="K177" i="3"/>
  <c r="J177" i="3"/>
  <c r="A177" i="3"/>
  <c r="M176" i="3"/>
  <c r="L176" i="3"/>
  <c r="K176" i="3"/>
  <c r="J176" i="3"/>
  <c r="A176" i="3"/>
  <c r="M175" i="3"/>
  <c r="L175" i="3"/>
  <c r="K175" i="3"/>
  <c r="J175" i="3"/>
  <c r="A175" i="3"/>
  <c r="M174" i="3"/>
  <c r="L174" i="3"/>
  <c r="K174" i="3"/>
  <c r="J174" i="3"/>
  <c r="A174" i="3"/>
  <c r="M173" i="3"/>
  <c r="L173" i="3"/>
  <c r="K173" i="3"/>
  <c r="J173" i="3"/>
  <c r="A173" i="3"/>
  <c r="M172" i="3"/>
  <c r="L172" i="3"/>
  <c r="K172" i="3"/>
  <c r="J172" i="3"/>
  <c r="A172" i="3"/>
  <c r="M171" i="3"/>
  <c r="L171" i="3"/>
  <c r="K171" i="3"/>
  <c r="J171" i="3"/>
  <c r="A171" i="3"/>
  <c r="M170" i="3"/>
  <c r="L170" i="3"/>
  <c r="K170" i="3"/>
  <c r="J170" i="3"/>
  <c r="A170" i="3"/>
  <c r="M169" i="3"/>
  <c r="L169" i="3"/>
  <c r="K169" i="3"/>
  <c r="J169" i="3"/>
  <c r="A169" i="3"/>
  <c r="M168" i="3"/>
  <c r="L168" i="3"/>
  <c r="K168" i="3"/>
  <c r="J168" i="3"/>
  <c r="A168" i="3"/>
  <c r="M167" i="3"/>
  <c r="L167" i="3"/>
  <c r="K167" i="3"/>
  <c r="J167" i="3"/>
  <c r="A167" i="3"/>
  <c r="M166" i="3"/>
  <c r="L166" i="3"/>
  <c r="K166" i="3"/>
  <c r="J166" i="3"/>
  <c r="A166" i="3"/>
  <c r="M165" i="3"/>
  <c r="L165" i="3"/>
  <c r="K165" i="3"/>
  <c r="J165" i="3"/>
  <c r="A165" i="3"/>
  <c r="M164" i="3"/>
  <c r="L164" i="3"/>
  <c r="K164" i="3"/>
  <c r="J164" i="3"/>
  <c r="A164" i="3"/>
  <c r="M163" i="3"/>
  <c r="L163" i="3"/>
  <c r="K163" i="3"/>
  <c r="J163" i="3"/>
  <c r="A163" i="3"/>
  <c r="M162" i="3"/>
  <c r="L162" i="3"/>
  <c r="K162" i="3"/>
  <c r="J162" i="3"/>
  <c r="A162" i="3"/>
  <c r="M161" i="3"/>
  <c r="L161" i="3"/>
  <c r="K161" i="3"/>
  <c r="J161" i="3"/>
  <c r="A161" i="3"/>
  <c r="M160" i="3"/>
  <c r="L160" i="3"/>
  <c r="K160" i="3"/>
  <c r="J160" i="3"/>
  <c r="A160" i="3"/>
  <c r="M159" i="3"/>
  <c r="L159" i="3"/>
  <c r="K159" i="3"/>
  <c r="J159" i="3"/>
  <c r="A159" i="3"/>
  <c r="M158" i="3"/>
  <c r="L158" i="3"/>
  <c r="K158" i="3"/>
  <c r="J158" i="3"/>
  <c r="A158" i="3"/>
  <c r="M157" i="3"/>
  <c r="L157" i="3"/>
  <c r="K157" i="3"/>
  <c r="J157" i="3"/>
  <c r="A157" i="3"/>
  <c r="M156" i="3"/>
  <c r="L156" i="3"/>
  <c r="K156" i="3"/>
  <c r="J156" i="3"/>
  <c r="A156" i="3"/>
  <c r="M155" i="3"/>
  <c r="L155" i="3"/>
  <c r="K155" i="3"/>
  <c r="J155" i="3"/>
  <c r="A155" i="3"/>
  <c r="M154" i="3"/>
  <c r="L154" i="3"/>
  <c r="K154" i="3"/>
  <c r="J154" i="3"/>
  <c r="A154" i="3"/>
  <c r="M153" i="3"/>
  <c r="L153" i="3"/>
  <c r="K153" i="3"/>
  <c r="J153" i="3"/>
  <c r="A153" i="3"/>
  <c r="M152" i="3"/>
  <c r="L152" i="3"/>
  <c r="K152" i="3"/>
  <c r="J152" i="3"/>
  <c r="A152" i="3"/>
  <c r="M151" i="3"/>
  <c r="L151" i="3"/>
  <c r="K151" i="3"/>
  <c r="J151" i="3"/>
  <c r="A151" i="3"/>
  <c r="M150" i="3"/>
  <c r="L150" i="3"/>
  <c r="K150" i="3"/>
  <c r="J150" i="3"/>
  <c r="A150" i="3"/>
  <c r="M149" i="3"/>
  <c r="L149" i="3"/>
  <c r="K149" i="3"/>
  <c r="J149" i="3"/>
  <c r="A149" i="3"/>
  <c r="M148" i="3"/>
  <c r="L148" i="3"/>
  <c r="K148" i="3"/>
  <c r="J148" i="3"/>
  <c r="A148" i="3"/>
  <c r="M147" i="3"/>
  <c r="L147" i="3"/>
  <c r="K147" i="3"/>
  <c r="J147" i="3"/>
  <c r="A147" i="3"/>
  <c r="M146" i="3"/>
  <c r="L146" i="3"/>
  <c r="K146" i="3"/>
  <c r="J146" i="3"/>
  <c r="A146" i="3"/>
  <c r="M145" i="3"/>
  <c r="L145" i="3"/>
  <c r="K145" i="3"/>
  <c r="J145" i="3"/>
  <c r="A145" i="3"/>
  <c r="M144" i="3"/>
  <c r="L144" i="3"/>
  <c r="K144" i="3"/>
  <c r="J144" i="3"/>
  <c r="A144" i="3"/>
  <c r="M143" i="3"/>
  <c r="L143" i="3"/>
  <c r="K143" i="3"/>
  <c r="J143" i="3"/>
  <c r="A143" i="3"/>
  <c r="M142" i="3"/>
  <c r="L142" i="3"/>
  <c r="K142" i="3"/>
  <c r="J142" i="3"/>
  <c r="A142" i="3"/>
  <c r="M141" i="3"/>
  <c r="L141" i="3"/>
  <c r="K141" i="3"/>
  <c r="J141" i="3"/>
  <c r="A141" i="3"/>
  <c r="M140" i="3"/>
  <c r="L140" i="3"/>
  <c r="K140" i="3"/>
  <c r="J140" i="3"/>
  <c r="A140" i="3"/>
  <c r="M139" i="3"/>
  <c r="L139" i="3"/>
  <c r="K139" i="3"/>
  <c r="J139" i="3"/>
  <c r="A139" i="3"/>
  <c r="M138" i="3"/>
  <c r="L138" i="3"/>
  <c r="K138" i="3"/>
  <c r="J138" i="3"/>
  <c r="A138" i="3"/>
  <c r="M137" i="3"/>
  <c r="L137" i="3"/>
  <c r="K137" i="3"/>
  <c r="J137" i="3"/>
  <c r="A137" i="3"/>
  <c r="M136" i="3"/>
  <c r="L136" i="3"/>
  <c r="K136" i="3"/>
  <c r="J136" i="3"/>
  <c r="A136" i="3"/>
  <c r="M135" i="3"/>
  <c r="L135" i="3"/>
  <c r="K135" i="3"/>
  <c r="J135" i="3"/>
  <c r="A135" i="3"/>
  <c r="M134" i="3"/>
  <c r="L134" i="3"/>
  <c r="K134" i="3"/>
  <c r="J134" i="3"/>
  <c r="A134" i="3"/>
  <c r="M133" i="3"/>
  <c r="L133" i="3"/>
  <c r="K133" i="3"/>
  <c r="J133" i="3"/>
  <c r="A133" i="3"/>
  <c r="M132" i="3"/>
  <c r="L132" i="3"/>
  <c r="K132" i="3"/>
  <c r="J132" i="3"/>
  <c r="A132" i="3"/>
  <c r="M131" i="3"/>
  <c r="L131" i="3"/>
  <c r="K131" i="3"/>
  <c r="J131" i="3"/>
  <c r="A131" i="3"/>
  <c r="M130" i="3"/>
  <c r="L130" i="3"/>
  <c r="K130" i="3"/>
  <c r="J130" i="3"/>
  <c r="A130" i="3"/>
  <c r="M129" i="3"/>
  <c r="L129" i="3"/>
  <c r="K129" i="3"/>
  <c r="J129" i="3"/>
  <c r="A129" i="3"/>
  <c r="M128" i="3"/>
  <c r="L128" i="3"/>
  <c r="K128" i="3"/>
  <c r="J128" i="3"/>
  <c r="A128" i="3"/>
  <c r="M127" i="3"/>
  <c r="L127" i="3"/>
  <c r="K127" i="3"/>
  <c r="J127" i="3"/>
  <c r="A127" i="3"/>
  <c r="M126" i="3"/>
  <c r="L126" i="3"/>
  <c r="K126" i="3"/>
  <c r="J126" i="3"/>
  <c r="A126" i="3"/>
  <c r="M125" i="3"/>
  <c r="L125" i="3"/>
  <c r="K125" i="3"/>
  <c r="J125" i="3"/>
  <c r="A125" i="3"/>
  <c r="M124" i="3"/>
  <c r="L124" i="3"/>
  <c r="K124" i="3"/>
  <c r="J124" i="3"/>
  <c r="A124" i="3"/>
  <c r="M123" i="3"/>
  <c r="L123" i="3"/>
  <c r="K123" i="3"/>
  <c r="J123" i="3"/>
  <c r="A123" i="3"/>
  <c r="M122" i="3"/>
  <c r="L122" i="3"/>
  <c r="K122" i="3"/>
  <c r="J122" i="3"/>
  <c r="A122" i="3"/>
  <c r="M121" i="3"/>
  <c r="L121" i="3"/>
  <c r="K121" i="3"/>
  <c r="J121" i="3"/>
  <c r="A121" i="3"/>
  <c r="M120" i="3"/>
  <c r="L120" i="3"/>
  <c r="K120" i="3"/>
  <c r="J120" i="3"/>
  <c r="A120" i="3"/>
  <c r="M119" i="3"/>
  <c r="L119" i="3"/>
  <c r="K119" i="3"/>
  <c r="J119" i="3"/>
  <c r="A119" i="3"/>
  <c r="M118" i="3"/>
  <c r="L118" i="3"/>
  <c r="K118" i="3"/>
  <c r="J118" i="3"/>
  <c r="A118" i="3"/>
  <c r="M117" i="3"/>
  <c r="L117" i="3"/>
  <c r="K117" i="3"/>
  <c r="J117" i="3"/>
  <c r="A117" i="3"/>
  <c r="M116" i="3"/>
  <c r="L116" i="3"/>
  <c r="K116" i="3"/>
  <c r="J116" i="3"/>
  <c r="A116" i="3"/>
  <c r="M115" i="3"/>
  <c r="L115" i="3"/>
  <c r="K115" i="3"/>
  <c r="J115" i="3"/>
  <c r="A115" i="3"/>
  <c r="M114" i="3"/>
  <c r="L114" i="3"/>
  <c r="K114" i="3"/>
  <c r="J114" i="3"/>
  <c r="A114" i="3"/>
  <c r="M113" i="3"/>
  <c r="L113" i="3"/>
  <c r="K113" i="3"/>
  <c r="J113" i="3"/>
  <c r="A113" i="3"/>
  <c r="M112" i="3"/>
  <c r="L112" i="3"/>
  <c r="K112" i="3"/>
  <c r="J112" i="3"/>
  <c r="A112" i="3"/>
  <c r="M111" i="3"/>
  <c r="L111" i="3"/>
  <c r="K111" i="3"/>
  <c r="J111" i="3"/>
  <c r="A111" i="3"/>
  <c r="M110" i="3"/>
  <c r="L110" i="3"/>
  <c r="K110" i="3"/>
  <c r="J110" i="3"/>
  <c r="A110" i="3"/>
  <c r="M109" i="3"/>
  <c r="L109" i="3"/>
  <c r="K109" i="3"/>
  <c r="J109" i="3"/>
  <c r="A109" i="3"/>
  <c r="M108" i="3"/>
  <c r="L108" i="3"/>
  <c r="K108" i="3"/>
  <c r="J108" i="3"/>
  <c r="A108" i="3"/>
  <c r="M107" i="3"/>
  <c r="L107" i="3"/>
  <c r="K107" i="3"/>
  <c r="J107" i="3"/>
  <c r="A107" i="3"/>
  <c r="M106" i="3"/>
  <c r="L106" i="3"/>
  <c r="K106" i="3"/>
  <c r="J106" i="3"/>
  <c r="A106" i="3"/>
  <c r="M105" i="3"/>
  <c r="L105" i="3"/>
  <c r="K105" i="3"/>
  <c r="J105" i="3"/>
  <c r="A105" i="3"/>
  <c r="M104" i="3"/>
  <c r="L104" i="3"/>
  <c r="K104" i="3"/>
  <c r="J104" i="3"/>
  <c r="A104" i="3"/>
  <c r="M103" i="3"/>
  <c r="L103" i="3"/>
  <c r="K103" i="3"/>
  <c r="J103" i="3"/>
  <c r="A103" i="3"/>
  <c r="M102" i="3"/>
  <c r="L102" i="3"/>
  <c r="K102" i="3"/>
  <c r="J102" i="3"/>
  <c r="A102" i="3"/>
  <c r="M101" i="3"/>
  <c r="L101" i="3"/>
  <c r="K101" i="3"/>
  <c r="J101" i="3"/>
  <c r="A101" i="3"/>
  <c r="M100" i="3"/>
  <c r="L100" i="3"/>
  <c r="K100" i="3"/>
  <c r="J100" i="3"/>
  <c r="A100" i="3"/>
  <c r="M99" i="3"/>
  <c r="L99" i="3"/>
  <c r="K99" i="3"/>
  <c r="J99" i="3"/>
  <c r="A99" i="3"/>
  <c r="M98" i="3"/>
  <c r="L98" i="3"/>
  <c r="K98" i="3"/>
  <c r="J98" i="3"/>
  <c r="A98" i="3"/>
  <c r="M97" i="3"/>
  <c r="L97" i="3"/>
  <c r="K97" i="3"/>
  <c r="J97" i="3"/>
  <c r="A97" i="3"/>
  <c r="M96" i="3"/>
  <c r="L96" i="3"/>
  <c r="K96" i="3"/>
  <c r="J96" i="3"/>
  <c r="A96" i="3"/>
  <c r="M95" i="3"/>
  <c r="L95" i="3"/>
  <c r="K95" i="3"/>
  <c r="J95" i="3"/>
  <c r="A95" i="3"/>
  <c r="M94" i="3"/>
  <c r="L94" i="3"/>
  <c r="K94" i="3"/>
  <c r="J94" i="3"/>
  <c r="A94" i="3"/>
  <c r="M93" i="3"/>
  <c r="L93" i="3"/>
  <c r="K93" i="3"/>
  <c r="J93" i="3"/>
  <c r="A93" i="3"/>
  <c r="M92" i="3"/>
  <c r="L92" i="3"/>
  <c r="K92" i="3"/>
  <c r="J92" i="3"/>
  <c r="A92" i="3"/>
  <c r="M91" i="3"/>
  <c r="L91" i="3"/>
  <c r="K91" i="3"/>
  <c r="J91" i="3"/>
  <c r="A91" i="3"/>
  <c r="M90" i="3"/>
  <c r="L90" i="3"/>
  <c r="K90" i="3"/>
  <c r="J90" i="3"/>
  <c r="A90" i="3"/>
  <c r="M89" i="3"/>
  <c r="L89" i="3"/>
  <c r="K89" i="3"/>
  <c r="J89" i="3"/>
  <c r="A89" i="3"/>
  <c r="M88" i="3"/>
  <c r="L88" i="3"/>
  <c r="K88" i="3"/>
  <c r="J88" i="3"/>
  <c r="A88" i="3"/>
  <c r="M87" i="3"/>
  <c r="L87" i="3"/>
  <c r="K87" i="3"/>
  <c r="J87" i="3"/>
  <c r="A87" i="3"/>
  <c r="M86" i="3"/>
  <c r="L86" i="3"/>
  <c r="K86" i="3"/>
  <c r="J86" i="3"/>
  <c r="A86" i="3"/>
  <c r="M85" i="3"/>
  <c r="L85" i="3"/>
  <c r="K85" i="3"/>
  <c r="J85" i="3"/>
  <c r="A85" i="3"/>
  <c r="M84" i="3"/>
  <c r="L84" i="3"/>
  <c r="K84" i="3"/>
  <c r="J84" i="3"/>
  <c r="A84" i="3"/>
  <c r="M83" i="3"/>
  <c r="L83" i="3"/>
  <c r="K83" i="3"/>
  <c r="J83" i="3"/>
  <c r="A83" i="3"/>
  <c r="M82" i="3"/>
  <c r="L82" i="3"/>
  <c r="K82" i="3"/>
  <c r="J82" i="3"/>
  <c r="A82" i="3"/>
  <c r="M81" i="3"/>
  <c r="L81" i="3"/>
  <c r="K81" i="3"/>
  <c r="J81" i="3"/>
  <c r="A81" i="3"/>
  <c r="M80" i="3"/>
  <c r="L80" i="3"/>
  <c r="K80" i="3"/>
  <c r="J80" i="3"/>
  <c r="A80" i="3"/>
  <c r="M79" i="3"/>
  <c r="L79" i="3"/>
  <c r="K79" i="3"/>
  <c r="J79" i="3"/>
  <c r="A79" i="3"/>
  <c r="M78" i="3"/>
  <c r="L78" i="3"/>
  <c r="K78" i="3"/>
  <c r="J78" i="3"/>
  <c r="A78" i="3"/>
  <c r="M77" i="3"/>
  <c r="L77" i="3"/>
  <c r="K77" i="3"/>
  <c r="J77" i="3"/>
  <c r="A77" i="3"/>
  <c r="M76" i="3"/>
  <c r="L76" i="3"/>
  <c r="K76" i="3"/>
  <c r="J76" i="3"/>
  <c r="A76" i="3"/>
  <c r="M75" i="3"/>
  <c r="L75" i="3"/>
  <c r="K75" i="3"/>
  <c r="J75" i="3"/>
  <c r="A75" i="3"/>
  <c r="M74" i="3"/>
  <c r="L74" i="3"/>
  <c r="K74" i="3"/>
  <c r="J74" i="3"/>
  <c r="A74" i="3"/>
  <c r="M73" i="3"/>
  <c r="L73" i="3"/>
  <c r="K73" i="3"/>
  <c r="J73" i="3"/>
  <c r="A73" i="3"/>
  <c r="M72" i="3"/>
  <c r="L72" i="3"/>
  <c r="K72" i="3"/>
  <c r="J72" i="3"/>
  <c r="A72" i="3"/>
  <c r="M71" i="3"/>
  <c r="L71" i="3"/>
  <c r="K71" i="3"/>
  <c r="J71" i="3"/>
  <c r="A71" i="3"/>
  <c r="M70" i="3"/>
  <c r="L70" i="3"/>
  <c r="K70" i="3"/>
  <c r="J70" i="3"/>
  <c r="A70" i="3"/>
  <c r="M69" i="3"/>
  <c r="L69" i="3"/>
  <c r="K69" i="3"/>
  <c r="J69" i="3"/>
  <c r="A69" i="3"/>
  <c r="M68" i="3"/>
  <c r="L68" i="3"/>
  <c r="K68" i="3"/>
  <c r="J68" i="3"/>
  <c r="A68" i="3"/>
  <c r="M67" i="3"/>
  <c r="L67" i="3"/>
  <c r="K67" i="3"/>
  <c r="J67" i="3"/>
  <c r="A67" i="3"/>
  <c r="M66" i="3"/>
  <c r="L66" i="3"/>
  <c r="K66" i="3"/>
  <c r="J66" i="3"/>
  <c r="A66" i="3"/>
  <c r="M65" i="3"/>
  <c r="L65" i="3"/>
  <c r="K65" i="3"/>
  <c r="J65" i="3"/>
  <c r="A65" i="3"/>
  <c r="M64" i="3"/>
  <c r="L64" i="3"/>
  <c r="K64" i="3"/>
  <c r="J64" i="3"/>
  <c r="A64" i="3"/>
  <c r="M63" i="3"/>
  <c r="L63" i="3"/>
  <c r="K63" i="3"/>
  <c r="J63" i="3"/>
  <c r="A63" i="3"/>
  <c r="M62" i="3"/>
  <c r="L62" i="3"/>
  <c r="K62" i="3"/>
  <c r="J62" i="3"/>
  <c r="A62" i="3"/>
  <c r="M61" i="3"/>
  <c r="L61" i="3"/>
  <c r="K61" i="3"/>
  <c r="J61" i="3"/>
  <c r="A61" i="3"/>
  <c r="M60" i="3"/>
  <c r="L60" i="3"/>
  <c r="K60" i="3"/>
  <c r="J60" i="3"/>
  <c r="A60" i="3"/>
  <c r="M59" i="3"/>
  <c r="L59" i="3"/>
  <c r="K59" i="3"/>
  <c r="J59" i="3"/>
  <c r="A59" i="3"/>
  <c r="M58" i="3"/>
  <c r="L58" i="3"/>
  <c r="K58" i="3"/>
  <c r="J58" i="3"/>
  <c r="A58" i="3"/>
  <c r="M57" i="3"/>
  <c r="L57" i="3"/>
  <c r="K57" i="3"/>
  <c r="J57" i="3"/>
  <c r="A57" i="3"/>
  <c r="M56" i="3"/>
  <c r="L56" i="3"/>
  <c r="K56" i="3"/>
  <c r="J56" i="3"/>
  <c r="A56" i="3"/>
  <c r="M55" i="3"/>
  <c r="L55" i="3"/>
  <c r="K55" i="3"/>
  <c r="J55" i="3"/>
  <c r="A55" i="3"/>
  <c r="M54" i="3"/>
  <c r="L54" i="3"/>
  <c r="K54" i="3"/>
  <c r="J54" i="3"/>
  <c r="A54" i="3"/>
  <c r="M53" i="3"/>
  <c r="L53" i="3"/>
  <c r="K53" i="3"/>
  <c r="J53" i="3"/>
  <c r="A53" i="3"/>
  <c r="M52" i="3"/>
  <c r="L52" i="3"/>
  <c r="K52" i="3"/>
  <c r="J52" i="3"/>
  <c r="A52" i="3"/>
  <c r="M51" i="3"/>
  <c r="L51" i="3"/>
  <c r="K51" i="3"/>
  <c r="J51" i="3"/>
  <c r="A51" i="3"/>
  <c r="M50" i="3"/>
  <c r="L50" i="3"/>
  <c r="K50" i="3"/>
  <c r="J50" i="3"/>
  <c r="A50" i="3"/>
  <c r="M49" i="3"/>
  <c r="L49" i="3"/>
  <c r="K49" i="3"/>
  <c r="J49" i="3"/>
  <c r="A49" i="3"/>
  <c r="M48" i="3"/>
  <c r="L48" i="3"/>
  <c r="K48" i="3"/>
  <c r="J48" i="3"/>
  <c r="A48" i="3"/>
  <c r="M47" i="3"/>
  <c r="L47" i="3"/>
  <c r="K47" i="3"/>
  <c r="J47" i="3"/>
  <c r="A47" i="3"/>
  <c r="M46" i="3"/>
  <c r="L46" i="3"/>
  <c r="K46" i="3"/>
  <c r="J46" i="3"/>
  <c r="A46" i="3"/>
  <c r="M45" i="3"/>
  <c r="L45" i="3"/>
  <c r="K45" i="3"/>
  <c r="J45" i="3"/>
  <c r="A45" i="3"/>
  <c r="M44" i="3"/>
  <c r="L44" i="3"/>
  <c r="K44" i="3"/>
  <c r="J44" i="3"/>
  <c r="A44" i="3"/>
  <c r="M43" i="3"/>
  <c r="L43" i="3"/>
  <c r="K43" i="3"/>
  <c r="J43" i="3"/>
  <c r="A43" i="3"/>
  <c r="M42" i="3"/>
  <c r="L42" i="3"/>
  <c r="K42" i="3"/>
  <c r="J42" i="3"/>
  <c r="A42" i="3"/>
  <c r="M41" i="3"/>
  <c r="L41" i="3"/>
  <c r="K41" i="3"/>
  <c r="J41" i="3"/>
  <c r="A41" i="3"/>
  <c r="M40" i="3"/>
  <c r="L40" i="3"/>
  <c r="K40" i="3"/>
  <c r="J40" i="3"/>
  <c r="A40" i="3"/>
  <c r="M39" i="3"/>
  <c r="L39" i="3"/>
  <c r="K39" i="3"/>
  <c r="J39" i="3"/>
  <c r="A39" i="3"/>
  <c r="M38" i="3"/>
  <c r="L38" i="3"/>
  <c r="K38" i="3"/>
  <c r="J38" i="3"/>
  <c r="A38" i="3"/>
  <c r="M37" i="3"/>
  <c r="L37" i="3"/>
  <c r="K37" i="3"/>
  <c r="J37" i="3"/>
  <c r="A37" i="3"/>
  <c r="M36" i="3"/>
  <c r="L36" i="3"/>
  <c r="K36" i="3"/>
  <c r="J36" i="3"/>
  <c r="A36" i="3"/>
  <c r="M35" i="3"/>
  <c r="L35" i="3"/>
  <c r="K35" i="3"/>
  <c r="J35" i="3"/>
  <c r="A35" i="3"/>
  <c r="M34" i="3"/>
  <c r="L34" i="3"/>
  <c r="K34" i="3"/>
  <c r="J34" i="3"/>
  <c r="A34" i="3"/>
  <c r="M33" i="3"/>
  <c r="L33" i="3"/>
  <c r="K33" i="3"/>
  <c r="J33" i="3"/>
  <c r="A33" i="3"/>
  <c r="M32" i="3"/>
  <c r="L32" i="3"/>
  <c r="K32" i="3"/>
  <c r="J32" i="3"/>
  <c r="A32" i="3"/>
  <c r="M31" i="3"/>
  <c r="L31" i="3"/>
  <c r="K31" i="3"/>
  <c r="J31" i="3"/>
  <c r="A31" i="3"/>
  <c r="M30" i="3"/>
  <c r="L30" i="3"/>
  <c r="K30" i="3"/>
  <c r="J30" i="3"/>
  <c r="A30" i="3"/>
  <c r="M29" i="3"/>
  <c r="L29" i="3"/>
  <c r="K29" i="3"/>
  <c r="J29" i="3"/>
  <c r="A29" i="3"/>
  <c r="M28" i="3"/>
  <c r="L28" i="3"/>
  <c r="K28" i="3"/>
  <c r="J28" i="3"/>
  <c r="A28" i="3"/>
  <c r="M27" i="3"/>
  <c r="L27" i="3"/>
  <c r="K27" i="3"/>
  <c r="J27" i="3"/>
  <c r="A27" i="3"/>
  <c r="M26" i="3"/>
  <c r="L26" i="3"/>
  <c r="K26" i="3"/>
  <c r="J26" i="3"/>
  <c r="A26" i="3"/>
  <c r="M25" i="3"/>
  <c r="L25" i="3"/>
  <c r="K25" i="3"/>
  <c r="J25" i="3"/>
  <c r="A25" i="3"/>
  <c r="M24" i="3"/>
  <c r="L24" i="3"/>
  <c r="K24" i="3"/>
  <c r="J24" i="3"/>
  <c r="A24" i="3"/>
  <c r="M23" i="3"/>
  <c r="L23" i="3"/>
  <c r="K23" i="3"/>
  <c r="J23" i="3"/>
  <c r="A23" i="3"/>
  <c r="M22" i="3"/>
  <c r="L22" i="3"/>
  <c r="K22" i="3"/>
  <c r="J22" i="3"/>
  <c r="A22" i="3"/>
  <c r="M21" i="3"/>
  <c r="L21" i="3"/>
  <c r="K21" i="3"/>
  <c r="J21" i="3"/>
  <c r="A21" i="3"/>
  <c r="M20" i="3"/>
  <c r="L20" i="3"/>
  <c r="K20" i="3"/>
  <c r="J20" i="3"/>
  <c r="A20" i="3"/>
  <c r="M19" i="3"/>
  <c r="L19" i="3"/>
  <c r="K19" i="3"/>
  <c r="J19" i="3"/>
  <c r="A19" i="3"/>
  <c r="M18" i="3"/>
  <c r="L18" i="3"/>
  <c r="K18" i="3"/>
  <c r="J18" i="3"/>
  <c r="A18" i="3"/>
  <c r="M17" i="3"/>
  <c r="L17" i="3"/>
  <c r="K17" i="3"/>
  <c r="J17" i="3"/>
  <c r="A17" i="3"/>
  <c r="M16" i="3"/>
  <c r="L16" i="3"/>
  <c r="K16" i="3"/>
  <c r="J16" i="3"/>
  <c r="A16" i="3"/>
  <c r="M15" i="3"/>
  <c r="L15" i="3"/>
  <c r="K15" i="3"/>
  <c r="J15" i="3"/>
  <c r="A15" i="3"/>
  <c r="M14" i="3"/>
  <c r="L14" i="3"/>
  <c r="K14" i="3"/>
  <c r="J14" i="3"/>
  <c r="A14" i="3"/>
  <c r="M13" i="3"/>
  <c r="L13" i="3"/>
  <c r="K13" i="3"/>
  <c r="J13" i="3"/>
  <c r="A13" i="3"/>
  <c r="M12" i="3"/>
  <c r="L12" i="3"/>
  <c r="K12" i="3"/>
  <c r="J12" i="3"/>
  <c r="A12" i="3"/>
  <c r="M11" i="3"/>
  <c r="L11" i="3"/>
  <c r="K11" i="3"/>
  <c r="J11" i="3"/>
  <c r="A11" i="3"/>
  <c r="M10" i="3"/>
  <c r="L10" i="3"/>
  <c r="K10" i="3"/>
  <c r="J10" i="3"/>
  <c r="A10" i="3"/>
  <c r="M9" i="3"/>
  <c r="L9" i="3"/>
  <c r="K9" i="3"/>
  <c r="J9" i="3"/>
  <c r="A9" i="3"/>
  <c r="M8" i="3"/>
  <c r="L8" i="3"/>
  <c r="K8" i="3"/>
  <c r="J8" i="3"/>
  <c r="A8" i="3"/>
  <c r="M7" i="3"/>
  <c r="L7" i="3"/>
  <c r="K7" i="3"/>
  <c r="J7" i="3"/>
  <c r="A7" i="3"/>
  <c r="M6" i="3"/>
  <c r="L6" i="3"/>
  <c r="K6" i="3"/>
  <c r="A6" i="3"/>
  <c r="J6" i="3" s="1"/>
  <c r="M5" i="3"/>
  <c r="L5" i="3"/>
  <c r="K5" i="3"/>
  <c r="A5" i="3"/>
  <c r="J5" i="3" s="1"/>
  <c r="M4" i="3"/>
  <c r="L4" i="3"/>
  <c r="K4" i="3"/>
  <c r="A4" i="3"/>
  <c r="J4" i="3" s="1"/>
  <c r="F7" i="2"/>
  <c r="E7" i="2"/>
  <c r="E15" i="1" s="1"/>
  <c r="D7" i="2"/>
  <c r="D15" i="1" s="1"/>
  <c r="C7" i="2"/>
  <c r="C15" i="1" s="1"/>
  <c r="E6" i="2"/>
  <c r="E14" i="1" s="1"/>
  <c r="C6" i="2"/>
  <c r="D6" i="2" s="1"/>
  <c r="E5" i="2"/>
  <c r="E13" i="1" s="1"/>
  <c r="C5" i="2"/>
  <c r="D5" i="2" s="1"/>
  <c r="E4" i="2"/>
  <c r="E12" i="1" s="1"/>
  <c r="C4" i="2"/>
  <c r="E5" i="6" s="1"/>
  <c r="B15" i="1"/>
  <c r="A15" i="1"/>
  <c r="B14" i="1"/>
  <c r="A14" i="1"/>
  <c r="B13" i="1"/>
  <c r="A13" i="1"/>
  <c r="B12" i="1"/>
  <c r="A12" i="1"/>
  <c r="B8" i="1"/>
  <c r="B7" i="1"/>
  <c r="B6" i="1"/>
  <c r="B5" i="1"/>
  <c r="B4" i="1"/>
  <c r="C14" i="1" l="1"/>
  <c r="F6" i="2"/>
  <c r="D14" i="1"/>
  <c r="F339" i="4"/>
  <c r="D13" i="1"/>
  <c r="F5" i="2"/>
  <c r="F4" i="4"/>
  <c r="A6" i="4"/>
  <c r="C7" i="4"/>
  <c r="E8" i="4"/>
  <c r="G9" i="4"/>
  <c r="C11" i="4"/>
  <c r="E12" i="4"/>
  <c r="G13" i="4"/>
  <c r="B15" i="4"/>
  <c r="D16" i="4"/>
  <c r="F17" i="4"/>
  <c r="A19" i="4"/>
  <c r="D20" i="4"/>
  <c r="F21" i="4"/>
  <c r="A23" i="4"/>
  <c r="C24" i="4"/>
  <c r="E25" i="4"/>
  <c r="G26" i="4"/>
  <c r="B28" i="4"/>
  <c r="E29" i="4"/>
  <c r="G30" i="4"/>
  <c r="B32" i="4"/>
  <c r="E33" i="4"/>
  <c r="A35" i="4"/>
  <c r="E36" i="4"/>
  <c r="B38" i="4"/>
  <c r="E39" i="4"/>
  <c r="B41" i="4"/>
  <c r="F42" i="4"/>
  <c r="B44" i="4"/>
  <c r="F45" i="4"/>
  <c r="C47" i="4"/>
  <c r="F48" i="4"/>
  <c r="C50" i="4"/>
  <c r="G51" i="4"/>
  <c r="C53" i="4"/>
  <c r="G54" i="4"/>
  <c r="D56" i="4"/>
  <c r="G57" i="4"/>
  <c r="D59" i="4"/>
  <c r="A61" i="4"/>
  <c r="D62" i="4"/>
  <c r="B66" i="4"/>
  <c r="C75" i="4"/>
  <c r="D84" i="4"/>
  <c r="E93" i="4"/>
  <c r="F102" i="4"/>
  <c r="G111" i="4"/>
  <c r="A121" i="4"/>
  <c r="B130" i="4"/>
  <c r="C139" i="4"/>
  <c r="D148" i="4"/>
  <c r="E157" i="4"/>
  <c r="F166" i="4"/>
  <c r="G175" i="4"/>
  <c r="A185" i="4"/>
  <c r="B194" i="4"/>
  <c r="C203" i="4"/>
  <c r="A214" i="4"/>
  <c r="A226" i="4"/>
  <c r="C238" i="4"/>
  <c r="E266" i="4"/>
  <c r="F503" i="4"/>
  <c r="E502" i="4"/>
  <c r="D501" i="4"/>
  <c r="C500" i="4"/>
  <c r="B499" i="4"/>
  <c r="A498" i="4"/>
  <c r="G496" i="4"/>
  <c r="F495" i="4"/>
  <c r="E494" i="4"/>
  <c r="D493" i="4"/>
  <c r="C492" i="4"/>
  <c r="B491" i="4"/>
  <c r="A490" i="4"/>
  <c r="G488" i="4"/>
  <c r="F487" i="4"/>
  <c r="E486" i="4"/>
  <c r="D485" i="4"/>
  <c r="C484" i="4"/>
  <c r="B483" i="4"/>
  <c r="A482" i="4"/>
  <c r="G480" i="4"/>
  <c r="F479" i="4"/>
  <c r="E478" i="4"/>
  <c r="D477" i="4"/>
  <c r="C476" i="4"/>
  <c r="B475" i="4"/>
  <c r="A474" i="4"/>
  <c r="G472" i="4"/>
  <c r="F471" i="4"/>
  <c r="E470" i="4"/>
  <c r="D469" i="4"/>
  <c r="C468" i="4"/>
  <c r="B467" i="4"/>
  <c r="A466" i="4"/>
  <c r="G464" i="4"/>
  <c r="F463" i="4"/>
  <c r="E462" i="4"/>
  <c r="D461" i="4"/>
  <c r="C460" i="4"/>
  <c r="B459" i="4"/>
  <c r="A458" i="4"/>
  <c r="G456" i="4"/>
  <c r="F455" i="4"/>
  <c r="E454" i="4"/>
  <c r="D453" i="4"/>
  <c r="C452" i="4"/>
  <c r="B451" i="4"/>
  <c r="A450" i="4"/>
  <c r="G448" i="4"/>
  <c r="F447" i="4"/>
  <c r="E446" i="4"/>
  <c r="D445" i="4"/>
  <c r="C444" i="4"/>
  <c r="B443" i="4"/>
  <c r="A442" i="4"/>
  <c r="G440" i="4"/>
  <c r="F439" i="4"/>
  <c r="E438" i="4"/>
  <c r="D437" i="4"/>
  <c r="C436" i="4"/>
  <c r="B435" i="4"/>
  <c r="A434" i="4"/>
  <c r="G432" i="4"/>
  <c r="F431" i="4"/>
  <c r="E430" i="4"/>
  <c r="D429" i="4"/>
  <c r="C428" i="4"/>
  <c r="B427" i="4"/>
  <c r="A426" i="4"/>
  <c r="G424" i="4"/>
  <c r="F423" i="4"/>
  <c r="E422" i="4"/>
  <c r="D421" i="4"/>
  <c r="C420" i="4"/>
  <c r="B419" i="4"/>
  <c r="A418" i="4"/>
  <c r="G416" i="4"/>
  <c r="F415" i="4"/>
  <c r="E414" i="4"/>
  <c r="D413" i="4"/>
  <c r="C412" i="4"/>
  <c r="B411" i="4"/>
  <c r="A410" i="4"/>
  <c r="G408" i="4"/>
  <c r="F407" i="4"/>
  <c r="E406" i="4"/>
  <c r="D405" i="4"/>
  <c r="C404" i="4"/>
  <c r="B403" i="4"/>
  <c r="A402" i="4"/>
  <c r="G400" i="4"/>
  <c r="F399" i="4"/>
  <c r="E398" i="4"/>
  <c r="D397" i="4"/>
  <c r="C396" i="4"/>
  <c r="B395" i="4"/>
  <c r="A394" i="4"/>
  <c r="G392" i="4"/>
  <c r="F391" i="4"/>
  <c r="E390" i="4"/>
  <c r="D389" i="4"/>
  <c r="C388" i="4"/>
  <c r="B387" i="4"/>
  <c r="E503" i="4"/>
  <c r="D502" i="4"/>
  <c r="C501" i="4"/>
  <c r="B500" i="4"/>
  <c r="A499" i="4"/>
  <c r="G497" i="4"/>
  <c r="F496" i="4"/>
  <c r="E495" i="4"/>
  <c r="D494" i="4"/>
  <c r="C493" i="4"/>
  <c r="B492" i="4"/>
  <c r="A491" i="4"/>
  <c r="G489" i="4"/>
  <c r="F488" i="4"/>
  <c r="E487" i="4"/>
  <c r="D486" i="4"/>
  <c r="C485" i="4"/>
  <c r="B484" i="4"/>
  <c r="A483" i="4"/>
  <c r="G481" i="4"/>
  <c r="F480" i="4"/>
  <c r="E479" i="4"/>
  <c r="D478" i="4"/>
  <c r="C477" i="4"/>
  <c r="B476" i="4"/>
  <c r="A475" i="4"/>
  <c r="G473" i="4"/>
  <c r="F472" i="4"/>
  <c r="E471" i="4"/>
  <c r="D470" i="4"/>
  <c r="C469" i="4"/>
  <c r="B468" i="4"/>
  <c r="A467" i="4"/>
  <c r="G465" i="4"/>
  <c r="F464" i="4"/>
  <c r="E463" i="4"/>
  <c r="D462" i="4"/>
  <c r="C461" i="4"/>
  <c r="B460" i="4"/>
  <c r="A459" i="4"/>
  <c r="G457" i="4"/>
  <c r="F456" i="4"/>
  <c r="E455" i="4"/>
  <c r="D454" i="4"/>
  <c r="C453" i="4"/>
  <c r="B452" i="4"/>
  <c r="A451" i="4"/>
  <c r="G449" i="4"/>
  <c r="F448" i="4"/>
  <c r="E447" i="4"/>
  <c r="D446" i="4"/>
  <c r="C445" i="4"/>
  <c r="B444" i="4"/>
  <c r="A443" i="4"/>
  <c r="G441" i="4"/>
  <c r="F440" i="4"/>
  <c r="E439" i="4"/>
  <c r="D438" i="4"/>
  <c r="C437" i="4"/>
  <c r="B436" i="4"/>
  <c r="A435" i="4"/>
  <c r="G433" i="4"/>
  <c r="F432" i="4"/>
  <c r="E431" i="4"/>
  <c r="D430" i="4"/>
  <c r="C429" i="4"/>
  <c r="B428" i="4"/>
  <c r="A427" i="4"/>
  <c r="G425" i="4"/>
  <c r="F424" i="4"/>
  <c r="E423" i="4"/>
  <c r="D422" i="4"/>
  <c r="C421" i="4"/>
  <c r="B420" i="4"/>
  <c r="A419" i="4"/>
  <c r="G417" i="4"/>
  <c r="F416" i="4"/>
  <c r="E415" i="4"/>
  <c r="D414" i="4"/>
  <c r="C413" i="4"/>
  <c r="B412" i="4"/>
  <c r="A411" i="4"/>
  <c r="G409" i="4"/>
  <c r="F408" i="4"/>
  <c r="E407" i="4"/>
  <c r="D406" i="4"/>
  <c r="C405" i="4"/>
  <c r="B404" i="4"/>
  <c r="A403" i="4"/>
  <c r="G401" i="4"/>
  <c r="F400" i="4"/>
  <c r="E399" i="4"/>
  <c r="D398" i="4"/>
  <c r="C397" i="4"/>
  <c r="B396" i="4"/>
  <c r="A395" i="4"/>
  <c r="G393" i="4"/>
  <c r="F392" i="4"/>
  <c r="E391" i="4"/>
  <c r="D390" i="4"/>
  <c r="C389" i="4"/>
  <c r="B388" i="4"/>
  <c r="A387" i="4"/>
  <c r="G385" i="4"/>
  <c r="F384" i="4"/>
  <c r="E383" i="4"/>
  <c r="D503" i="4"/>
  <c r="C502" i="4"/>
  <c r="B501" i="4"/>
  <c r="A500" i="4"/>
  <c r="G498" i="4"/>
  <c r="F497" i="4"/>
  <c r="E496" i="4"/>
  <c r="D495" i="4"/>
  <c r="C494" i="4"/>
  <c r="B493" i="4"/>
  <c r="A492" i="4"/>
  <c r="G490" i="4"/>
  <c r="F489" i="4"/>
  <c r="E488" i="4"/>
  <c r="D487" i="4"/>
  <c r="C486" i="4"/>
  <c r="B485" i="4"/>
  <c r="A484" i="4"/>
  <c r="G482" i="4"/>
  <c r="F481" i="4"/>
  <c r="E480" i="4"/>
  <c r="D479" i="4"/>
  <c r="C478" i="4"/>
  <c r="B477" i="4"/>
  <c r="A476" i="4"/>
  <c r="G474" i="4"/>
  <c r="F473" i="4"/>
  <c r="E472" i="4"/>
  <c r="D471" i="4"/>
  <c r="C470" i="4"/>
  <c r="B469" i="4"/>
  <c r="A468" i="4"/>
  <c r="G466" i="4"/>
  <c r="F465" i="4"/>
  <c r="E464" i="4"/>
  <c r="D463" i="4"/>
  <c r="C462" i="4"/>
  <c r="B461" i="4"/>
  <c r="A460" i="4"/>
  <c r="G458" i="4"/>
  <c r="F457" i="4"/>
  <c r="E456" i="4"/>
  <c r="D455" i="4"/>
  <c r="C454" i="4"/>
  <c r="B453" i="4"/>
  <c r="A452" i="4"/>
  <c r="G450" i="4"/>
  <c r="F449" i="4"/>
  <c r="E448" i="4"/>
  <c r="D447" i="4"/>
  <c r="C446" i="4"/>
  <c r="B445" i="4"/>
  <c r="A444" i="4"/>
  <c r="G442" i="4"/>
  <c r="F441" i="4"/>
  <c r="E440" i="4"/>
  <c r="D439" i="4"/>
  <c r="C438" i="4"/>
  <c r="B437" i="4"/>
  <c r="A436" i="4"/>
  <c r="G434" i="4"/>
  <c r="F433" i="4"/>
  <c r="E432" i="4"/>
  <c r="D431" i="4"/>
  <c r="C430" i="4"/>
  <c r="B429" i="4"/>
  <c r="A428" i="4"/>
  <c r="G426" i="4"/>
  <c r="F425" i="4"/>
  <c r="E424" i="4"/>
  <c r="D423" i="4"/>
  <c r="C422" i="4"/>
  <c r="B421" i="4"/>
  <c r="A420" i="4"/>
  <c r="G418" i="4"/>
  <c r="F417" i="4"/>
  <c r="E416" i="4"/>
  <c r="D415" i="4"/>
  <c r="C414" i="4"/>
  <c r="B413" i="4"/>
  <c r="A412" i="4"/>
  <c r="G410" i="4"/>
  <c r="F409" i="4"/>
  <c r="E408" i="4"/>
  <c r="D407" i="4"/>
  <c r="C406" i="4"/>
  <c r="B405" i="4"/>
  <c r="A404" i="4"/>
  <c r="G402" i="4"/>
  <c r="F401" i="4"/>
  <c r="E400" i="4"/>
  <c r="D399" i="4"/>
  <c r="C398" i="4"/>
  <c r="B397" i="4"/>
  <c r="A396" i="4"/>
  <c r="G394" i="4"/>
  <c r="F393" i="4"/>
  <c r="E392" i="4"/>
  <c r="D391" i="4"/>
  <c r="C390" i="4"/>
  <c r="B389" i="4"/>
  <c r="A388" i="4"/>
  <c r="G386" i="4"/>
  <c r="F385" i="4"/>
  <c r="E384" i="4"/>
  <c r="D383" i="4"/>
  <c r="C503" i="4"/>
  <c r="B502" i="4"/>
  <c r="A501" i="4"/>
  <c r="G499" i="4"/>
  <c r="F498" i="4"/>
  <c r="E497" i="4"/>
  <c r="D496" i="4"/>
  <c r="C495" i="4"/>
  <c r="B494" i="4"/>
  <c r="A493" i="4"/>
  <c r="G491" i="4"/>
  <c r="F490" i="4"/>
  <c r="E489" i="4"/>
  <c r="D488" i="4"/>
  <c r="C487" i="4"/>
  <c r="B486" i="4"/>
  <c r="A485" i="4"/>
  <c r="G483" i="4"/>
  <c r="F482" i="4"/>
  <c r="E481" i="4"/>
  <c r="D480" i="4"/>
  <c r="C479" i="4"/>
  <c r="B478" i="4"/>
  <c r="A477" i="4"/>
  <c r="G475" i="4"/>
  <c r="F474" i="4"/>
  <c r="E473" i="4"/>
  <c r="D472" i="4"/>
  <c r="C471" i="4"/>
  <c r="B470" i="4"/>
  <c r="A469" i="4"/>
  <c r="G467" i="4"/>
  <c r="F466" i="4"/>
  <c r="E465" i="4"/>
  <c r="D464" i="4"/>
  <c r="C463" i="4"/>
  <c r="B462" i="4"/>
  <c r="A461" i="4"/>
  <c r="G459" i="4"/>
  <c r="F458" i="4"/>
  <c r="E457" i="4"/>
  <c r="D456" i="4"/>
  <c r="C455" i="4"/>
  <c r="B454" i="4"/>
  <c r="A453" i="4"/>
  <c r="G451" i="4"/>
  <c r="F450" i="4"/>
  <c r="E449" i="4"/>
  <c r="D448" i="4"/>
  <c r="C447" i="4"/>
  <c r="B446" i="4"/>
  <c r="A445" i="4"/>
  <c r="G443" i="4"/>
  <c r="F442" i="4"/>
  <c r="E441" i="4"/>
  <c r="D440" i="4"/>
  <c r="C439" i="4"/>
  <c r="B438" i="4"/>
  <c r="A437" i="4"/>
  <c r="G435" i="4"/>
  <c r="F434" i="4"/>
  <c r="E433" i="4"/>
  <c r="D432" i="4"/>
  <c r="C431" i="4"/>
  <c r="B430" i="4"/>
  <c r="A429" i="4"/>
  <c r="G427" i="4"/>
  <c r="F426" i="4"/>
  <c r="E425" i="4"/>
  <c r="D424" i="4"/>
  <c r="C423" i="4"/>
  <c r="B422" i="4"/>
  <c r="A421" i="4"/>
  <c r="G419" i="4"/>
  <c r="F418" i="4"/>
  <c r="E417" i="4"/>
  <c r="D416" i="4"/>
  <c r="C415" i="4"/>
  <c r="B414" i="4"/>
  <c r="A413" i="4"/>
  <c r="G411" i="4"/>
  <c r="F410" i="4"/>
  <c r="E409" i="4"/>
  <c r="D408" i="4"/>
  <c r="C407" i="4"/>
  <c r="B406" i="4"/>
  <c r="A405" i="4"/>
  <c r="G403" i="4"/>
  <c r="F402" i="4"/>
  <c r="E401" i="4"/>
  <c r="D400" i="4"/>
  <c r="C399" i="4"/>
  <c r="B398" i="4"/>
  <c r="A397" i="4"/>
  <c r="G395" i="4"/>
  <c r="F394" i="4"/>
  <c r="E393" i="4"/>
  <c r="D392" i="4"/>
  <c r="C391" i="4"/>
  <c r="B390" i="4"/>
  <c r="B503" i="4"/>
  <c r="A502" i="4"/>
  <c r="G500" i="4"/>
  <c r="F499" i="4"/>
  <c r="E498" i="4"/>
  <c r="D497" i="4"/>
  <c r="C496" i="4"/>
  <c r="B495" i="4"/>
  <c r="A494" i="4"/>
  <c r="G492" i="4"/>
  <c r="F491" i="4"/>
  <c r="E490" i="4"/>
  <c r="D489" i="4"/>
  <c r="C488" i="4"/>
  <c r="B487" i="4"/>
  <c r="A486" i="4"/>
  <c r="G484" i="4"/>
  <c r="F483" i="4"/>
  <c r="E482" i="4"/>
  <c r="D481" i="4"/>
  <c r="C480" i="4"/>
  <c r="B479" i="4"/>
  <c r="A478" i="4"/>
  <c r="G476" i="4"/>
  <c r="F475" i="4"/>
  <c r="E474" i="4"/>
  <c r="D473" i="4"/>
  <c r="C472" i="4"/>
  <c r="B471" i="4"/>
  <c r="A470" i="4"/>
  <c r="G468" i="4"/>
  <c r="F467" i="4"/>
  <c r="E466" i="4"/>
  <c r="D465" i="4"/>
  <c r="C464" i="4"/>
  <c r="B463" i="4"/>
  <c r="A462" i="4"/>
  <c r="G460" i="4"/>
  <c r="F459" i="4"/>
  <c r="E458" i="4"/>
  <c r="D457" i="4"/>
  <c r="C456" i="4"/>
  <c r="B455" i="4"/>
  <c r="A454" i="4"/>
  <c r="G452" i="4"/>
  <c r="F451" i="4"/>
  <c r="E450" i="4"/>
  <c r="D449" i="4"/>
  <c r="C448" i="4"/>
  <c r="B447" i="4"/>
  <c r="A446" i="4"/>
  <c r="G444" i="4"/>
  <c r="F443" i="4"/>
  <c r="E442" i="4"/>
  <c r="D441" i="4"/>
  <c r="C440" i="4"/>
  <c r="B439" i="4"/>
  <c r="A438" i="4"/>
  <c r="G436" i="4"/>
  <c r="F435" i="4"/>
  <c r="E434" i="4"/>
  <c r="D433" i="4"/>
  <c r="C432" i="4"/>
  <c r="B431" i="4"/>
  <c r="A430" i="4"/>
  <c r="G428" i="4"/>
  <c r="F427" i="4"/>
  <c r="E426" i="4"/>
  <c r="D425" i="4"/>
  <c r="C424" i="4"/>
  <c r="B423" i="4"/>
  <c r="A422" i="4"/>
  <c r="G420" i="4"/>
  <c r="F419" i="4"/>
  <c r="E418" i="4"/>
  <c r="D417" i="4"/>
  <c r="C416" i="4"/>
  <c r="B415" i="4"/>
  <c r="A414" i="4"/>
  <c r="G412" i="4"/>
  <c r="F411" i="4"/>
  <c r="E410" i="4"/>
  <c r="D409" i="4"/>
  <c r="C408" i="4"/>
  <c r="B407" i="4"/>
  <c r="A406" i="4"/>
  <c r="G404" i="4"/>
  <c r="F403" i="4"/>
  <c r="E402" i="4"/>
  <c r="D401" i="4"/>
  <c r="C400" i="4"/>
  <c r="B399" i="4"/>
  <c r="A398" i="4"/>
  <c r="G396" i="4"/>
  <c r="F395" i="4"/>
  <c r="E394" i="4"/>
  <c r="D393" i="4"/>
  <c r="C392" i="4"/>
  <c r="B391" i="4"/>
  <c r="A390" i="4"/>
  <c r="G388" i="4"/>
  <c r="F387" i="4"/>
  <c r="E386" i="4"/>
  <c r="D385" i="4"/>
  <c r="C384" i="4"/>
  <c r="B383" i="4"/>
  <c r="A382" i="4"/>
  <c r="G380" i="4"/>
  <c r="F379" i="4"/>
  <c r="E378" i="4"/>
  <c r="D377" i="4"/>
  <c r="C376" i="4"/>
  <c r="B375" i="4"/>
  <c r="A374" i="4"/>
  <c r="G372" i="4"/>
  <c r="F371" i="4"/>
  <c r="E370" i="4"/>
  <c r="D369" i="4"/>
  <c r="C368" i="4"/>
  <c r="B367" i="4"/>
  <c r="A366" i="4"/>
  <c r="G364" i="4"/>
  <c r="A503" i="4"/>
  <c r="G501" i="4"/>
  <c r="F500" i="4"/>
  <c r="E499" i="4"/>
  <c r="D498" i="4"/>
  <c r="C497" i="4"/>
  <c r="B496" i="4"/>
  <c r="A495" i="4"/>
  <c r="G493" i="4"/>
  <c r="F492" i="4"/>
  <c r="E491" i="4"/>
  <c r="D490" i="4"/>
  <c r="C489" i="4"/>
  <c r="B488" i="4"/>
  <c r="A487" i="4"/>
  <c r="G485" i="4"/>
  <c r="F484" i="4"/>
  <c r="E483" i="4"/>
  <c r="D482" i="4"/>
  <c r="C481" i="4"/>
  <c r="B480" i="4"/>
  <c r="A479" i="4"/>
  <c r="G477" i="4"/>
  <c r="F476" i="4"/>
  <c r="E475" i="4"/>
  <c r="D474" i="4"/>
  <c r="C473" i="4"/>
  <c r="B472" i="4"/>
  <c r="A471" i="4"/>
  <c r="G469" i="4"/>
  <c r="F468" i="4"/>
  <c r="E467" i="4"/>
  <c r="D466" i="4"/>
  <c r="C465" i="4"/>
  <c r="B464" i="4"/>
  <c r="A463" i="4"/>
  <c r="G461" i="4"/>
  <c r="F460" i="4"/>
  <c r="E459" i="4"/>
  <c r="D458" i="4"/>
  <c r="C457" i="4"/>
  <c r="B456" i="4"/>
  <c r="A455" i="4"/>
  <c r="G453" i="4"/>
  <c r="F452" i="4"/>
  <c r="E451" i="4"/>
  <c r="D450" i="4"/>
  <c r="C449" i="4"/>
  <c r="B448" i="4"/>
  <c r="A447" i="4"/>
  <c r="G445" i="4"/>
  <c r="F444" i="4"/>
  <c r="E443" i="4"/>
  <c r="D442" i="4"/>
  <c r="C441" i="4"/>
  <c r="B440" i="4"/>
  <c r="A439" i="4"/>
  <c r="G437" i="4"/>
  <c r="F436" i="4"/>
  <c r="E435" i="4"/>
  <c r="D434" i="4"/>
  <c r="C433" i="4"/>
  <c r="B432" i="4"/>
  <c r="A431" i="4"/>
  <c r="G429" i="4"/>
  <c r="F428" i="4"/>
  <c r="E427" i="4"/>
  <c r="D426" i="4"/>
  <c r="C425" i="4"/>
  <c r="B424" i="4"/>
  <c r="A423" i="4"/>
  <c r="G421" i="4"/>
  <c r="F420" i="4"/>
  <c r="E419" i="4"/>
  <c r="D418" i="4"/>
  <c r="C417" i="4"/>
  <c r="B416" i="4"/>
  <c r="A415" i="4"/>
  <c r="G413" i="4"/>
  <c r="F412" i="4"/>
  <c r="E411" i="4"/>
  <c r="D410" i="4"/>
  <c r="C409" i="4"/>
  <c r="B408" i="4"/>
  <c r="A407" i="4"/>
  <c r="G405" i="4"/>
  <c r="F404" i="4"/>
  <c r="E403" i="4"/>
  <c r="D402" i="4"/>
  <c r="C401" i="4"/>
  <c r="B400" i="4"/>
  <c r="A399" i="4"/>
  <c r="G397" i="4"/>
  <c r="F396" i="4"/>
  <c r="E395" i="4"/>
  <c r="D394" i="4"/>
  <c r="C393" i="4"/>
  <c r="B392" i="4"/>
  <c r="A391" i="4"/>
  <c r="G389" i="4"/>
  <c r="F388" i="4"/>
  <c r="E387" i="4"/>
  <c r="D386" i="4"/>
  <c r="C385" i="4"/>
  <c r="B384" i="4"/>
  <c r="A383" i="4"/>
  <c r="G381" i="4"/>
  <c r="F380" i="4"/>
  <c r="E379" i="4"/>
  <c r="D378" i="4"/>
  <c r="C377" i="4"/>
  <c r="B376" i="4"/>
  <c r="A375" i="4"/>
  <c r="G373" i="4"/>
  <c r="F372" i="4"/>
  <c r="E371" i="4"/>
  <c r="D370" i="4"/>
  <c r="C369" i="4"/>
  <c r="B368" i="4"/>
  <c r="A367" i="4"/>
  <c r="G365" i="4"/>
  <c r="F364" i="4"/>
  <c r="G502" i="4"/>
  <c r="F501" i="4"/>
  <c r="E500" i="4"/>
  <c r="D499" i="4"/>
  <c r="C498" i="4"/>
  <c r="B497" i="4"/>
  <c r="A496" i="4"/>
  <c r="G494" i="4"/>
  <c r="F493" i="4"/>
  <c r="E492" i="4"/>
  <c r="D491" i="4"/>
  <c r="C490" i="4"/>
  <c r="B489" i="4"/>
  <c r="A488" i="4"/>
  <c r="G486" i="4"/>
  <c r="F485" i="4"/>
  <c r="E484" i="4"/>
  <c r="D483" i="4"/>
  <c r="C482" i="4"/>
  <c r="B481" i="4"/>
  <c r="A480" i="4"/>
  <c r="G478" i="4"/>
  <c r="F477" i="4"/>
  <c r="E476" i="4"/>
  <c r="D475" i="4"/>
  <c r="C474" i="4"/>
  <c r="B473" i="4"/>
  <c r="A472" i="4"/>
  <c r="G470" i="4"/>
  <c r="F469" i="4"/>
  <c r="E468" i="4"/>
  <c r="D467" i="4"/>
  <c r="C466" i="4"/>
  <c r="B465" i="4"/>
  <c r="A464" i="4"/>
  <c r="G462" i="4"/>
  <c r="F461" i="4"/>
  <c r="E460" i="4"/>
  <c r="D459" i="4"/>
  <c r="C458" i="4"/>
  <c r="B457" i="4"/>
  <c r="A456" i="4"/>
  <c r="G454" i="4"/>
  <c r="F453" i="4"/>
  <c r="E452" i="4"/>
  <c r="D451" i="4"/>
  <c r="C450" i="4"/>
  <c r="B449" i="4"/>
  <c r="A448" i="4"/>
  <c r="G446" i="4"/>
  <c r="F445" i="4"/>
  <c r="E444" i="4"/>
  <c r="D443" i="4"/>
  <c r="C442" i="4"/>
  <c r="B441" i="4"/>
  <c r="A440" i="4"/>
  <c r="G438" i="4"/>
  <c r="F437" i="4"/>
  <c r="E436" i="4"/>
  <c r="D435" i="4"/>
  <c r="C434" i="4"/>
  <c r="B433" i="4"/>
  <c r="A432" i="4"/>
  <c r="G430" i="4"/>
  <c r="F429" i="4"/>
  <c r="E428" i="4"/>
  <c r="D427" i="4"/>
  <c r="C426" i="4"/>
  <c r="B425" i="4"/>
  <c r="A424" i="4"/>
  <c r="G422" i="4"/>
  <c r="F421" i="4"/>
  <c r="E420" i="4"/>
  <c r="D419" i="4"/>
  <c r="C418" i="4"/>
  <c r="B417" i="4"/>
  <c r="A416" i="4"/>
  <c r="G414" i="4"/>
  <c r="F413" i="4"/>
  <c r="E412" i="4"/>
  <c r="D411" i="4"/>
  <c r="C410" i="4"/>
  <c r="B409" i="4"/>
  <c r="A408" i="4"/>
  <c r="G406" i="4"/>
  <c r="F405" i="4"/>
  <c r="E404" i="4"/>
  <c r="D403" i="4"/>
  <c r="C402" i="4"/>
  <c r="B401" i="4"/>
  <c r="A400" i="4"/>
  <c r="G398" i="4"/>
  <c r="F397" i="4"/>
  <c r="E396" i="4"/>
  <c r="D395" i="4"/>
  <c r="C394" i="4"/>
  <c r="B393" i="4"/>
  <c r="A392" i="4"/>
  <c r="G390" i="4"/>
  <c r="G503" i="4"/>
  <c r="F494" i="4"/>
  <c r="E485" i="4"/>
  <c r="D476" i="4"/>
  <c r="C467" i="4"/>
  <c r="B458" i="4"/>
  <c r="A449" i="4"/>
  <c r="G439" i="4"/>
  <c r="F430" i="4"/>
  <c r="E421" i="4"/>
  <c r="D412" i="4"/>
  <c r="C403" i="4"/>
  <c r="B394" i="4"/>
  <c r="D388" i="4"/>
  <c r="E385" i="4"/>
  <c r="C383" i="4"/>
  <c r="E381" i="4"/>
  <c r="B380" i="4"/>
  <c r="F378" i="4"/>
  <c r="A377" i="4"/>
  <c r="E375" i="4"/>
  <c r="B374" i="4"/>
  <c r="D372" i="4"/>
  <c r="A371" i="4"/>
  <c r="E369" i="4"/>
  <c r="G367" i="4"/>
  <c r="D366" i="4"/>
  <c r="A365" i="4"/>
  <c r="E363" i="4"/>
  <c r="D362" i="4"/>
  <c r="C361" i="4"/>
  <c r="B360" i="4"/>
  <c r="A359" i="4"/>
  <c r="G357" i="4"/>
  <c r="F356" i="4"/>
  <c r="E355" i="4"/>
  <c r="D354" i="4"/>
  <c r="C353" i="4"/>
  <c r="B352" i="4"/>
  <c r="A351" i="4"/>
  <c r="G349" i="4"/>
  <c r="F348" i="4"/>
  <c r="E347" i="4"/>
  <c r="D346" i="4"/>
  <c r="C345" i="4"/>
  <c r="B344" i="4"/>
  <c r="A343" i="4"/>
  <c r="G341" i="4"/>
  <c r="F340" i="4"/>
  <c r="E339" i="4"/>
  <c r="D338" i="4"/>
  <c r="C337" i="4"/>
  <c r="B336" i="4"/>
  <c r="A335" i="4"/>
  <c r="G333" i="4"/>
  <c r="F332" i="4"/>
  <c r="E331" i="4"/>
  <c r="D330" i="4"/>
  <c r="C329" i="4"/>
  <c r="B328" i="4"/>
  <c r="A327" i="4"/>
  <c r="G325" i="4"/>
  <c r="F324" i="4"/>
  <c r="E323" i="4"/>
  <c r="D322" i="4"/>
  <c r="C321" i="4"/>
  <c r="B320" i="4"/>
  <c r="A319" i="4"/>
  <c r="G317" i="4"/>
  <c r="F316" i="4"/>
  <c r="E315" i="4"/>
  <c r="D314" i="4"/>
  <c r="C313" i="4"/>
  <c r="B312" i="4"/>
  <c r="A311" i="4"/>
  <c r="G309" i="4"/>
  <c r="F308" i="4"/>
  <c r="E307" i="4"/>
  <c r="D306" i="4"/>
  <c r="C305" i="4"/>
  <c r="B304" i="4"/>
  <c r="A303" i="4"/>
  <c r="G301" i="4"/>
  <c r="F300" i="4"/>
  <c r="E299" i="4"/>
  <c r="D298" i="4"/>
  <c r="C297" i="4"/>
  <c r="B296" i="4"/>
  <c r="A295" i="4"/>
  <c r="G293" i="4"/>
  <c r="F292" i="4"/>
  <c r="E291" i="4"/>
  <c r="D290" i="4"/>
  <c r="C289" i="4"/>
  <c r="B288" i="4"/>
  <c r="A287" i="4"/>
  <c r="G285" i="4"/>
  <c r="F284" i="4"/>
  <c r="E283" i="4"/>
  <c r="D282" i="4"/>
  <c r="C281" i="4"/>
  <c r="B280" i="4"/>
  <c r="A279" i="4"/>
  <c r="G277" i="4"/>
  <c r="F276" i="4"/>
  <c r="E275" i="4"/>
  <c r="D274" i="4"/>
  <c r="C273" i="4"/>
  <c r="B272" i="4"/>
  <c r="A271" i="4"/>
  <c r="G269" i="4"/>
  <c r="F268" i="4"/>
  <c r="E267" i="4"/>
  <c r="D266" i="4"/>
  <c r="C265" i="4"/>
  <c r="B264" i="4"/>
  <c r="A263" i="4"/>
  <c r="G261" i="4"/>
  <c r="F260" i="4"/>
  <c r="E259" i="4"/>
  <c r="D258" i="4"/>
  <c r="C257" i="4"/>
  <c r="B256" i="4"/>
  <c r="A255" i="4"/>
  <c r="G253" i="4"/>
  <c r="F252" i="4"/>
  <c r="E251" i="4"/>
  <c r="D250" i="4"/>
  <c r="C249" i="4"/>
  <c r="B248" i="4"/>
  <c r="A247" i="4"/>
  <c r="G245" i="4"/>
  <c r="F244" i="4"/>
  <c r="E243" i="4"/>
  <c r="D242" i="4"/>
  <c r="C241" i="4"/>
  <c r="B240" i="4"/>
  <c r="A239" i="4"/>
  <c r="G237" i="4"/>
  <c r="F236" i="4"/>
  <c r="E235" i="4"/>
  <c r="D234" i="4"/>
  <c r="C233" i="4"/>
  <c r="B232" i="4"/>
  <c r="A231" i="4"/>
  <c r="G229" i="4"/>
  <c r="F228" i="4"/>
  <c r="E227" i="4"/>
  <c r="D226" i="4"/>
  <c r="C225" i="4"/>
  <c r="B224" i="4"/>
  <c r="A223" i="4"/>
  <c r="G221" i="4"/>
  <c r="F220" i="4"/>
  <c r="E219" i="4"/>
  <c r="D218" i="4"/>
  <c r="C217" i="4"/>
  <c r="B216" i="4"/>
  <c r="A215" i="4"/>
  <c r="G213" i="4"/>
  <c r="F212" i="4"/>
  <c r="E211" i="4"/>
  <c r="D210" i="4"/>
  <c r="C209" i="4"/>
  <c r="B208" i="4"/>
  <c r="F502" i="4"/>
  <c r="E493" i="4"/>
  <c r="D484" i="4"/>
  <c r="C475" i="4"/>
  <c r="B466" i="4"/>
  <c r="A457" i="4"/>
  <c r="G447" i="4"/>
  <c r="F438" i="4"/>
  <c r="E429" i="4"/>
  <c r="D420" i="4"/>
  <c r="C411" i="4"/>
  <c r="B402" i="4"/>
  <c r="A393" i="4"/>
  <c r="G387" i="4"/>
  <c r="B385" i="4"/>
  <c r="G382" i="4"/>
  <c r="D381" i="4"/>
  <c r="A380" i="4"/>
  <c r="C378" i="4"/>
  <c r="G376" i="4"/>
  <c r="D375" i="4"/>
  <c r="F373" i="4"/>
  <c r="C372" i="4"/>
  <c r="G370" i="4"/>
  <c r="B369" i="4"/>
  <c r="F367" i="4"/>
  <c r="C366" i="4"/>
  <c r="E364" i="4"/>
  <c r="D363" i="4"/>
  <c r="C362" i="4"/>
  <c r="B361" i="4"/>
  <c r="A360" i="4"/>
  <c r="G358" i="4"/>
  <c r="F357" i="4"/>
  <c r="E356" i="4"/>
  <c r="D355" i="4"/>
  <c r="C354" i="4"/>
  <c r="B353" i="4"/>
  <c r="A352" i="4"/>
  <c r="G350" i="4"/>
  <c r="F349" i="4"/>
  <c r="E348" i="4"/>
  <c r="D347" i="4"/>
  <c r="C346" i="4"/>
  <c r="B345" i="4"/>
  <c r="A344" i="4"/>
  <c r="G342" i="4"/>
  <c r="F341" i="4"/>
  <c r="E340" i="4"/>
  <c r="D339" i="4"/>
  <c r="C338" i="4"/>
  <c r="B337" i="4"/>
  <c r="A336" i="4"/>
  <c r="G334" i="4"/>
  <c r="F333" i="4"/>
  <c r="E332" i="4"/>
  <c r="D331" i="4"/>
  <c r="C330" i="4"/>
  <c r="B329" i="4"/>
  <c r="A328" i="4"/>
  <c r="G326" i="4"/>
  <c r="F325" i="4"/>
  <c r="E324" i="4"/>
  <c r="D323" i="4"/>
  <c r="C322" i="4"/>
  <c r="B321" i="4"/>
  <c r="A320" i="4"/>
  <c r="G318" i="4"/>
  <c r="F317" i="4"/>
  <c r="E316" i="4"/>
  <c r="D315" i="4"/>
  <c r="C314" i="4"/>
  <c r="B313" i="4"/>
  <c r="A312" i="4"/>
  <c r="G310" i="4"/>
  <c r="F309" i="4"/>
  <c r="E308" i="4"/>
  <c r="D307" i="4"/>
  <c r="C306" i="4"/>
  <c r="B305" i="4"/>
  <c r="A304" i="4"/>
  <c r="G302" i="4"/>
  <c r="F301" i="4"/>
  <c r="E300" i="4"/>
  <c r="D299" i="4"/>
  <c r="C298" i="4"/>
  <c r="B297" i="4"/>
  <c r="A296" i="4"/>
  <c r="G294" i="4"/>
  <c r="F293" i="4"/>
  <c r="E292" i="4"/>
  <c r="D291" i="4"/>
  <c r="C290" i="4"/>
  <c r="B289" i="4"/>
  <c r="A288" i="4"/>
  <c r="G286" i="4"/>
  <c r="F285" i="4"/>
  <c r="E284" i="4"/>
  <c r="D283" i="4"/>
  <c r="C282" i="4"/>
  <c r="B281" i="4"/>
  <c r="A280" i="4"/>
  <c r="G278" i="4"/>
  <c r="F277" i="4"/>
  <c r="E276" i="4"/>
  <c r="D275" i="4"/>
  <c r="C274" i="4"/>
  <c r="B273" i="4"/>
  <c r="A272" i="4"/>
  <c r="G270" i="4"/>
  <c r="F269" i="4"/>
  <c r="E268" i="4"/>
  <c r="D267" i="4"/>
  <c r="C266" i="4"/>
  <c r="B265" i="4"/>
  <c r="A264" i="4"/>
  <c r="G262" i="4"/>
  <c r="F261" i="4"/>
  <c r="E260" i="4"/>
  <c r="D259" i="4"/>
  <c r="C258" i="4"/>
  <c r="B257" i="4"/>
  <c r="A256" i="4"/>
  <c r="G254" i="4"/>
  <c r="F253" i="4"/>
  <c r="E252" i="4"/>
  <c r="D251" i="4"/>
  <c r="C250" i="4"/>
  <c r="B249" i="4"/>
  <c r="A248" i="4"/>
  <c r="G246" i="4"/>
  <c r="F245" i="4"/>
  <c r="E244" i="4"/>
  <c r="D243" i="4"/>
  <c r="C242" i="4"/>
  <c r="B241" i="4"/>
  <c r="A240" i="4"/>
  <c r="G238" i="4"/>
  <c r="F237" i="4"/>
  <c r="E236" i="4"/>
  <c r="D235" i="4"/>
  <c r="C234" i="4"/>
  <c r="B233" i="4"/>
  <c r="A232" i="4"/>
  <c r="G230" i="4"/>
  <c r="F229" i="4"/>
  <c r="E228" i="4"/>
  <c r="D227" i="4"/>
  <c r="C226" i="4"/>
  <c r="B225" i="4"/>
  <c r="A224" i="4"/>
  <c r="G222" i="4"/>
  <c r="F221" i="4"/>
  <c r="E220" i="4"/>
  <c r="D219" i="4"/>
  <c r="C218" i="4"/>
  <c r="B217" i="4"/>
  <c r="A216" i="4"/>
  <c r="G214" i="4"/>
  <c r="F213" i="4"/>
  <c r="E212" i="4"/>
  <c r="D211" i="4"/>
  <c r="C210" i="4"/>
  <c r="B209" i="4"/>
  <c r="E501" i="4"/>
  <c r="D492" i="4"/>
  <c r="C483" i="4"/>
  <c r="B474" i="4"/>
  <c r="A465" i="4"/>
  <c r="G455" i="4"/>
  <c r="F446" i="4"/>
  <c r="E437" i="4"/>
  <c r="D428" i="4"/>
  <c r="C419" i="4"/>
  <c r="B410" i="4"/>
  <c r="A401" i="4"/>
  <c r="G391" i="4"/>
  <c r="D387" i="4"/>
  <c r="A385" i="4"/>
  <c r="F382" i="4"/>
  <c r="C381" i="4"/>
  <c r="G379" i="4"/>
  <c r="B378" i="4"/>
  <c r="F376" i="4"/>
  <c r="C375" i="4"/>
  <c r="E373" i="4"/>
  <c r="B372" i="4"/>
  <c r="F370" i="4"/>
  <c r="A369" i="4"/>
  <c r="E367" i="4"/>
  <c r="B366" i="4"/>
  <c r="D364" i="4"/>
  <c r="C363" i="4"/>
  <c r="B362" i="4"/>
  <c r="A361" i="4"/>
  <c r="G359" i="4"/>
  <c r="F358" i="4"/>
  <c r="E357" i="4"/>
  <c r="D356" i="4"/>
  <c r="C355" i="4"/>
  <c r="B354" i="4"/>
  <c r="A353" i="4"/>
  <c r="G351" i="4"/>
  <c r="F350" i="4"/>
  <c r="E349" i="4"/>
  <c r="D348" i="4"/>
  <c r="C347" i="4"/>
  <c r="B346" i="4"/>
  <c r="A345" i="4"/>
  <c r="G343" i="4"/>
  <c r="F342" i="4"/>
  <c r="E341" i="4"/>
  <c r="D340" i="4"/>
  <c r="C339" i="4"/>
  <c r="B338" i="4"/>
  <c r="A337" i="4"/>
  <c r="G335" i="4"/>
  <c r="F334" i="4"/>
  <c r="E333" i="4"/>
  <c r="D332" i="4"/>
  <c r="C331" i="4"/>
  <c r="B330" i="4"/>
  <c r="A329" i="4"/>
  <c r="G327" i="4"/>
  <c r="F326" i="4"/>
  <c r="E325" i="4"/>
  <c r="D324" i="4"/>
  <c r="C323" i="4"/>
  <c r="B322" i="4"/>
  <c r="A321" i="4"/>
  <c r="G319" i="4"/>
  <c r="F318" i="4"/>
  <c r="E317" i="4"/>
  <c r="D316" i="4"/>
  <c r="C315" i="4"/>
  <c r="B314" i="4"/>
  <c r="A313" i="4"/>
  <c r="G311" i="4"/>
  <c r="F310" i="4"/>
  <c r="E309" i="4"/>
  <c r="D308" i="4"/>
  <c r="C307" i="4"/>
  <c r="B306" i="4"/>
  <c r="A305" i="4"/>
  <c r="G303" i="4"/>
  <c r="F302" i="4"/>
  <c r="E301" i="4"/>
  <c r="D300" i="4"/>
  <c r="C299" i="4"/>
  <c r="B298" i="4"/>
  <c r="A297" i="4"/>
  <c r="G295" i="4"/>
  <c r="F294" i="4"/>
  <c r="E293" i="4"/>
  <c r="D292" i="4"/>
  <c r="C291" i="4"/>
  <c r="B290" i="4"/>
  <c r="A289" i="4"/>
  <c r="G287" i="4"/>
  <c r="F286" i="4"/>
  <c r="E285" i="4"/>
  <c r="D284" i="4"/>
  <c r="C283" i="4"/>
  <c r="B282" i="4"/>
  <c r="A281" i="4"/>
  <c r="G279" i="4"/>
  <c r="F278" i="4"/>
  <c r="E277" i="4"/>
  <c r="D276" i="4"/>
  <c r="C275" i="4"/>
  <c r="B274" i="4"/>
  <c r="A273" i="4"/>
  <c r="G271" i="4"/>
  <c r="F270" i="4"/>
  <c r="E269" i="4"/>
  <c r="D268" i="4"/>
  <c r="C267" i="4"/>
  <c r="B266" i="4"/>
  <c r="A265" i="4"/>
  <c r="G263" i="4"/>
  <c r="F262" i="4"/>
  <c r="E261" i="4"/>
  <c r="D260" i="4"/>
  <c r="C259" i="4"/>
  <c r="B258" i="4"/>
  <c r="A257" i="4"/>
  <c r="G255" i="4"/>
  <c r="F254" i="4"/>
  <c r="E253" i="4"/>
  <c r="D252" i="4"/>
  <c r="C251" i="4"/>
  <c r="B250" i="4"/>
  <c r="A249" i="4"/>
  <c r="D500" i="4"/>
  <c r="C491" i="4"/>
  <c r="B482" i="4"/>
  <c r="A473" i="4"/>
  <c r="G463" i="4"/>
  <c r="F454" i="4"/>
  <c r="E445" i="4"/>
  <c r="D436" i="4"/>
  <c r="C427" i="4"/>
  <c r="B418" i="4"/>
  <c r="A409" i="4"/>
  <c r="G399" i="4"/>
  <c r="F390" i="4"/>
  <c r="C387" i="4"/>
  <c r="G384" i="4"/>
  <c r="E382" i="4"/>
  <c r="B381" i="4"/>
  <c r="D379" i="4"/>
  <c r="A378" i="4"/>
  <c r="E376" i="4"/>
  <c r="G374" i="4"/>
  <c r="D373" i="4"/>
  <c r="A372" i="4"/>
  <c r="C370" i="4"/>
  <c r="G368" i="4"/>
  <c r="D367" i="4"/>
  <c r="F365" i="4"/>
  <c r="C364" i="4"/>
  <c r="B363" i="4"/>
  <c r="A362" i="4"/>
  <c r="G360" i="4"/>
  <c r="F359" i="4"/>
  <c r="E358" i="4"/>
  <c r="D357" i="4"/>
  <c r="C356" i="4"/>
  <c r="B355" i="4"/>
  <c r="A354" i="4"/>
  <c r="G352" i="4"/>
  <c r="F351" i="4"/>
  <c r="E350" i="4"/>
  <c r="D349" i="4"/>
  <c r="C348" i="4"/>
  <c r="B347" i="4"/>
  <c r="A346" i="4"/>
  <c r="G344" i="4"/>
  <c r="F343" i="4"/>
  <c r="E342" i="4"/>
  <c r="D341" i="4"/>
  <c r="C340" i="4"/>
  <c r="B339" i="4"/>
  <c r="A338" i="4"/>
  <c r="G336" i="4"/>
  <c r="F335" i="4"/>
  <c r="E334" i="4"/>
  <c r="D333" i="4"/>
  <c r="C332" i="4"/>
  <c r="B331" i="4"/>
  <c r="A330" i="4"/>
  <c r="G328" i="4"/>
  <c r="F327" i="4"/>
  <c r="E326" i="4"/>
  <c r="D325" i="4"/>
  <c r="C324" i="4"/>
  <c r="B323" i="4"/>
  <c r="A322" i="4"/>
  <c r="G320" i="4"/>
  <c r="F319" i="4"/>
  <c r="E318" i="4"/>
  <c r="D317" i="4"/>
  <c r="C316" i="4"/>
  <c r="B315" i="4"/>
  <c r="A314" i="4"/>
  <c r="G312" i="4"/>
  <c r="F311" i="4"/>
  <c r="E310" i="4"/>
  <c r="D309" i="4"/>
  <c r="C308" i="4"/>
  <c r="B307" i="4"/>
  <c r="A306" i="4"/>
  <c r="G304" i="4"/>
  <c r="F303" i="4"/>
  <c r="E302" i="4"/>
  <c r="D301" i="4"/>
  <c r="C300" i="4"/>
  <c r="B299" i="4"/>
  <c r="A298" i="4"/>
  <c r="G296" i="4"/>
  <c r="F295" i="4"/>
  <c r="E294" i="4"/>
  <c r="D293" i="4"/>
  <c r="C292" i="4"/>
  <c r="B291" i="4"/>
  <c r="A290" i="4"/>
  <c r="G288" i="4"/>
  <c r="F287" i="4"/>
  <c r="E286" i="4"/>
  <c r="D285" i="4"/>
  <c r="C284" i="4"/>
  <c r="B283" i="4"/>
  <c r="A282" i="4"/>
  <c r="G280" i="4"/>
  <c r="F279" i="4"/>
  <c r="E278" i="4"/>
  <c r="D277" i="4"/>
  <c r="C276" i="4"/>
  <c r="B275" i="4"/>
  <c r="A274" i="4"/>
  <c r="G272" i="4"/>
  <c r="F271" i="4"/>
  <c r="E270" i="4"/>
  <c r="D269" i="4"/>
  <c r="C268" i="4"/>
  <c r="B267" i="4"/>
  <c r="A266" i="4"/>
  <c r="G264" i="4"/>
  <c r="F263" i="4"/>
  <c r="E262" i="4"/>
  <c r="D261" i="4"/>
  <c r="C260" i="4"/>
  <c r="B259" i="4"/>
  <c r="A258" i="4"/>
  <c r="G256" i="4"/>
  <c r="F255" i="4"/>
  <c r="E254" i="4"/>
  <c r="D253" i="4"/>
  <c r="C252" i="4"/>
  <c r="B251" i="4"/>
  <c r="A250" i="4"/>
  <c r="G248" i="4"/>
  <c r="F247" i="4"/>
  <c r="E246" i="4"/>
  <c r="C499" i="4"/>
  <c r="B490" i="4"/>
  <c r="A481" i="4"/>
  <c r="G471" i="4"/>
  <c r="F462" i="4"/>
  <c r="E453" i="4"/>
  <c r="D444" i="4"/>
  <c r="C435" i="4"/>
  <c r="B426" i="4"/>
  <c r="A417" i="4"/>
  <c r="G407" i="4"/>
  <c r="F398" i="4"/>
  <c r="F389" i="4"/>
  <c r="F386" i="4"/>
  <c r="D384" i="4"/>
  <c r="D382" i="4"/>
  <c r="A381" i="4"/>
  <c r="C379" i="4"/>
  <c r="G377" i="4"/>
  <c r="D376" i="4"/>
  <c r="F374" i="4"/>
  <c r="C373" i="4"/>
  <c r="G371" i="4"/>
  <c r="B370" i="4"/>
  <c r="F368" i="4"/>
  <c r="C367" i="4"/>
  <c r="E365" i="4"/>
  <c r="B364" i="4"/>
  <c r="A363" i="4"/>
  <c r="G361" i="4"/>
  <c r="F360" i="4"/>
  <c r="E359" i="4"/>
  <c r="D358" i="4"/>
  <c r="C357" i="4"/>
  <c r="B356" i="4"/>
  <c r="A355" i="4"/>
  <c r="G353" i="4"/>
  <c r="F352" i="4"/>
  <c r="E351" i="4"/>
  <c r="D350" i="4"/>
  <c r="C349" i="4"/>
  <c r="B348" i="4"/>
  <c r="A347" i="4"/>
  <c r="G345" i="4"/>
  <c r="F344" i="4"/>
  <c r="E343" i="4"/>
  <c r="D342" i="4"/>
  <c r="C341" i="4"/>
  <c r="B340" i="4"/>
  <c r="A339" i="4"/>
  <c r="G337" i="4"/>
  <c r="F336" i="4"/>
  <c r="E335" i="4"/>
  <c r="D334" i="4"/>
  <c r="C333" i="4"/>
  <c r="B332" i="4"/>
  <c r="A331" i="4"/>
  <c r="G329" i="4"/>
  <c r="F328" i="4"/>
  <c r="E327" i="4"/>
  <c r="D326" i="4"/>
  <c r="C325" i="4"/>
  <c r="B324" i="4"/>
  <c r="A323" i="4"/>
  <c r="G321" i="4"/>
  <c r="F320" i="4"/>
  <c r="E319" i="4"/>
  <c r="D318" i="4"/>
  <c r="C317" i="4"/>
  <c r="B316" i="4"/>
  <c r="A315" i="4"/>
  <c r="G313" i="4"/>
  <c r="F312" i="4"/>
  <c r="E311" i="4"/>
  <c r="D310" i="4"/>
  <c r="C309" i="4"/>
  <c r="B308" i="4"/>
  <c r="A307" i="4"/>
  <c r="G305" i="4"/>
  <c r="F304" i="4"/>
  <c r="E303" i="4"/>
  <c r="D302" i="4"/>
  <c r="C301" i="4"/>
  <c r="B300" i="4"/>
  <c r="A299" i="4"/>
  <c r="G297" i="4"/>
  <c r="F296" i="4"/>
  <c r="E295" i="4"/>
  <c r="D294" i="4"/>
  <c r="C293" i="4"/>
  <c r="B292" i="4"/>
  <c r="A291" i="4"/>
  <c r="G289" i="4"/>
  <c r="F288" i="4"/>
  <c r="E287" i="4"/>
  <c r="D286" i="4"/>
  <c r="C285" i="4"/>
  <c r="B284" i="4"/>
  <c r="A283" i="4"/>
  <c r="G281" i="4"/>
  <c r="F280" i="4"/>
  <c r="E279" i="4"/>
  <c r="D278" i="4"/>
  <c r="C277" i="4"/>
  <c r="B276" i="4"/>
  <c r="A275" i="4"/>
  <c r="G273" i="4"/>
  <c r="F272" i="4"/>
  <c r="E271" i="4"/>
  <c r="D270" i="4"/>
  <c r="C269" i="4"/>
  <c r="B268" i="4"/>
  <c r="A267" i="4"/>
  <c r="G265" i="4"/>
  <c r="F264" i="4"/>
  <c r="E263" i="4"/>
  <c r="D262" i="4"/>
  <c r="C261" i="4"/>
  <c r="B260" i="4"/>
  <c r="A259" i="4"/>
  <c r="G257" i="4"/>
  <c r="F256" i="4"/>
  <c r="E255" i="4"/>
  <c r="D254" i="4"/>
  <c r="C253" i="4"/>
  <c r="B252" i="4"/>
  <c r="A251" i="4"/>
  <c r="G249" i="4"/>
  <c r="B498" i="4"/>
  <c r="A489" i="4"/>
  <c r="G479" i="4"/>
  <c r="F470" i="4"/>
  <c r="E461" i="4"/>
  <c r="D452" i="4"/>
  <c r="C443" i="4"/>
  <c r="B434" i="4"/>
  <c r="A425" i="4"/>
  <c r="G415" i="4"/>
  <c r="F406" i="4"/>
  <c r="E397" i="4"/>
  <c r="E389" i="4"/>
  <c r="C386" i="4"/>
  <c r="A384" i="4"/>
  <c r="C382" i="4"/>
  <c r="E380" i="4"/>
  <c r="B379" i="4"/>
  <c r="F377" i="4"/>
  <c r="A376" i="4"/>
  <c r="E374" i="4"/>
  <c r="B373" i="4"/>
  <c r="D371" i="4"/>
  <c r="A370" i="4"/>
  <c r="E368" i="4"/>
  <c r="G366" i="4"/>
  <c r="D365" i="4"/>
  <c r="A364" i="4"/>
  <c r="G362" i="4"/>
  <c r="F361" i="4"/>
  <c r="E360" i="4"/>
  <c r="D359" i="4"/>
  <c r="C358" i="4"/>
  <c r="B357" i="4"/>
  <c r="A356" i="4"/>
  <c r="G354" i="4"/>
  <c r="F353" i="4"/>
  <c r="E352" i="4"/>
  <c r="D351" i="4"/>
  <c r="C350" i="4"/>
  <c r="B349" i="4"/>
  <c r="A348" i="4"/>
  <c r="G346" i="4"/>
  <c r="F345" i="4"/>
  <c r="E344" i="4"/>
  <c r="D343" i="4"/>
  <c r="C342" i="4"/>
  <c r="B341" i="4"/>
  <c r="A340" i="4"/>
  <c r="G338" i="4"/>
  <c r="F337" i="4"/>
  <c r="E336" i="4"/>
  <c r="D335" i="4"/>
  <c r="C334" i="4"/>
  <c r="B333" i="4"/>
  <c r="A332" i="4"/>
  <c r="G330" i="4"/>
  <c r="F329" i="4"/>
  <c r="E328" i="4"/>
  <c r="D327" i="4"/>
  <c r="C326" i="4"/>
  <c r="B325" i="4"/>
  <c r="A324" i="4"/>
  <c r="G322" i="4"/>
  <c r="F321" i="4"/>
  <c r="E320" i="4"/>
  <c r="D319" i="4"/>
  <c r="C318" i="4"/>
  <c r="B317" i="4"/>
  <c r="A316" i="4"/>
  <c r="G314" i="4"/>
  <c r="F313" i="4"/>
  <c r="E312" i="4"/>
  <c r="D311" i="4"/>
  <c r="C310" i="4"/>
  <c r="B309" i="4"/>
  <c r="A308" i="4"/>
  <c r="G306" i="4"/>
  <c r="F305" i="4"/>
  <c r="E304" i="4"/>
  <c r="D303" i="4"/>
  <c r="C302" i="4"/>
  <c r="B301" i="4"/>
  <c r="A300" i="4"/>
  <c r="G298" i="4"/>
  <c r="F297" i="4"/>
  <c r="E296" i="4"/>
  <c r="D295" i="4"/>
  <c r="C294" i="4"/>
  <c r="B293" i="4"/>
  <c r="A292" i="4"/>
  <c r="G290" i="4"/>
  <c r="F289" i="4"/>
  <c r="E288" i="4"/>
  <c r="D287" i="4"/>
  <c r="C286" i="4"/>
  <c r="B285" i="4"/>
  <c r="A284" i="4"/>
  <c r="G282" i="4"/>
  <c r="F281" i="4"/>
  <c r="E280" i="4"/>
  <c r="D279" i="4"/>
  <c r="C278" i="4"/>
  <c r="B277" i="4"/>
  <c r="A276" i="4"/>
  <c r="G274" i="4"/>
  <c r="F273" i="4"/>
  <c r="E272" i="4"/>
  <c r="D271" i="4"/>
  <c r="C270" i="4"/>
  <c r="B269" i="4"/>
  <c r="A268" i="4"/>
  <c r="G266" i="4"/>
  <c r="F265" i="4"/>
  <c r="E264" i="4"/>
  <c r="D263" i="4"/>
  <c r="C262" i="4"/>
  <c r="B261" i="4"/>
  <c r="A260" i="4"/>
  <c r="G258" i="4"/>
  <c r="F257" i="4"/>
  <c r="E256" i="4"/>
  <c r="D255" i="4"/>
  <c r="C254" i="4"/>
  <c r="B253" i="4"/>
  <c r="A252" i="4"/>
  <c r="G250" i="4"/>
  <c r="F249" i="4"/>
  <c r="E248" i="4"/>
  <c r="D247" i="4"/>
  <c r="C246" i="4"/>
  <c r="B245" i="4"/>
  <c r="A244" i="4"/>
  <c r="A497" i="4"/>
  <c r="G487" i="4"/>
  <c r="F478" i="4"/>
  <c r="E469" i="4"/>
  <c r="D460" i="4"/>
  <c r="C451" i="4"/>
  <c r="B442" i="4"/>
  <c r="A433" i="4"/>
  <c r="G423" i="4"/>
  <c r="F414" i="4"/>
  <c r="E405" i="4"/>
  <c r="D396" i="4"/>
  <c r="A389" i="4"/>
  <c r="B386" i="4"/>
  <c r="G383" i="4"/>
  <c r="B382" i="4"/>
  <c r="D380" i="4"/>
  <c r="A379" i="4"/>
  <c r="E377" i="4"/>
  <c r="G375" i="4"/>
  <c r="D374" i="4"/>
  <c r="A373" i="4"/>
  <c r="C371" i="4"/>
  <c r="G369" i="4"/>
  <c r="D368" i="4"/>
  <c r="F366" i="4"/>
  <c r="C365" i="4"/>
  <c r="G363" i="4"/>
  <c r="F362" i="4"/>
  <c r="E361" i="4"/>
  <c r="D360" i="4"/>
  <c r="C359" i="4"/>
  <c r="B358" i="4"/>
  <c r="A357" i="4"/>
  <c r="G355" i="4"/>
  <c r="F354" i="4"/>
  <c r="E353" i="4"/>
  <c r="D352" i="4"/>
  <c r="C351" i="4"/>
  <c r="B350" i="4"/>
  <c r="A349" i="4"/>
  <c r="G347" i="4"/>
  <c r="F346" i="4"/>
  <c r="E345" i="4"/>
  <c r="D344" i="4"/>
  <c r="C343" i="4"/>
  <c r="B342" i="4"/>
  <c r="A341" i="4"/>
  <c r="G339" i="4"/>
  <c r="F338" i="4"/>
  <c r="E337" i="4"/>
  <c r="D336" i="4"/>
  <c r="C335" i="4"/>
  <c r="B334" i="4"/>
  <c r="A333" i="4"/>
  <c r="G331" i="4"/>
  <c r="F330" i="4"/>
  <c r="E329" i="4"/>
  <c r="D328" i="4"/>
  <c r="C327" i="4"/>
  <c r="B326" i="4"/>
  <c r="A325" i="4"/>
  <c r="G323" i="4"/>
  <c r="F322" i="4"/>
  <c r="E321" i="4"/>
  <c r="D320" i="4"/>
  <c r="C319" i="4"/>
  <c r="B318" i="4"/>
  <c r="A317" i="4"/>
  <c r="G315" i="4"/>
  <c r="F314" i="4"/>
  <c r="E313" i="4"/>
  <c r="D312" i="4"/>
  <c r="C311" i="4"/>
  <c r="B310" i="4"/>
  <c r="A309" i="4"/>
  <c r="G307" i="4"/>
  <c r="F306" i="4"/>
  <c r="E305" i="4"/>
  <c r="D304" i="4"/>
  <c r="C303" i="4"/>
  <c r="B302" i="4"/>
  <c r="A301" i="4"/>
  <c r="G299" i="4"/>
  <c r="F298" i="4"/>
  <c r="E297" i="4"/>
  <c r="D296" i="4"/>
  <c r="C295" i="4"/>
  <c r="B294" i="4"/>
  <c r="A293" i="4"/>
  <c r="G291" i="4"/>
  <c r="F290" i="4"/>
  <c r="E289" i="4"/>
  <c r="D288" i="4"/>
  <c r="C287" i="4"/>
  <c r="B286" i="4"/>
  <c r="A285" i="4"/>
  <c r="G283" i="4"/>
  <c r="F282" i="4"/>
  <c r="E281" i="4"/>
  <c r="D280" i="4"/>
  <c r="C279" i="4"/>
  <c r="B278" i="4"/>
  <c r="A277" i="4"/>
  <c r="G275" i="4"/>
  <c r="F274" i="4"/>
  <c r="E273" i="4"/>
  <c r="D272" i="4"/>
  <c r="C271" i="4"/>
  <c r="B270" i="4"/>
  <c r="A269" i="4"/>
  <c r="G267" i="4"/>
  <c r="F266" i="4"/>
  <c r="E265" i="4"/>
  <c r="D264" i="4"/>
  <c r="C263" i="4"/>
  <c r="B262" i="4"/>
  <c r="A261" i="4"/>
  <c r="G259" i="4"/>
  <c r="F258" i="4"/>
  <c r="E257" i="4"/>
  <c r="D256" i="4"/>
  <c r="C255" i="4"/>
  <c r="B254" i="4"/>
  <c r="A253" i="4"/>
  <c r="G251" i="4"/>
  <c r="F250" i="4"/>
  <c r="E249" i="4"/>
  <c r="F486" i="4"/>
  <c r="E413" i="4"/>
  <c r="G378" i="4"/>
  <c r="E366" i="4"/>
  <c r="G356" i="4"/>
  <c r="F347" i="4"/>
  <c r="E338" i="4"/>
  <c r="D329" i="4"/>
  <c r="C320" i="4"/>
  <c r="B311" i="4"/>
  <c r="A302" i="4"/>
  <c r="G292" i="4"/>
  <c r="F283" i="4"/>
  <c r="E274" i="4"/>
  <c r="D265" i="4"/>
  <c r="C256" i="4"/>
  <c r="D248" i="4"/>
  <c r="B246" i="4"/>
  <c r="C244" i="4"/>
  <c r="F242" i="4"/>
  <c r="A241" i="4"/>
  <c r="E239" i="4"/>
  <c r="B238" i="4"/>
  <c r="D236" i="4"/>
  <c r="A235" i="4"/>
  <c r="E233" i="4"/>
  <c r="G231" i="4"/>
  <c r="D230" i="4"/>
  <c r="A229" i="4"/>
  <c r="C227" i="4"/>
  <c r="G225" i="4"/>
  <c r="D224" i="4"/>
  <c r="F222" i="4"/>
  <c r="C221" i="4"/>
  <c r="G219" i="4"/>
  <c r="B218" i="4"/>
  <c r="F216" i="4"/>
  <c r="C215" i="4"/>
  <c r="E213" i="4"/>
  <c r="B212" i="4"/>
  <c r="F210" i="4"/>
  <c r="A209" i="4"/>
  <c r="F207" i="4"/>
  <c r="E206" i="4"/>
  <c r="D205" i="4"/>
  <c r="C204" i="4"/>
  <c r="B203" i="4"/>
  <c r="A202" i="4"/>
  <c r="G200" i="4"/>
  <c r="F199" i="4"/>
  <c r="E198" i="4"/>
  <c r="D197" i="4"/>
  <c r="C196" i="4"/>
  <c r="B195" i="4"/>
  <c r="A194" i="4"/>
  <c r="G192" i="4"/>
  <c r="F191" i="4"/>
  <c r="E190" i="4"/>
  <c r="D189" i="4"/>
  <c r="C188" i="4"/>
  <c r="B187" i="4"/>
  <c r="A186" i="4"/>
  <c r="G184" i="4"/>
  <c r="F183" i="4"/>
  <c r="E182" i="4"/>
  <c r="D181" i="4"/>
  <c r="C180" i="4"/>
  <c r="B179" i="4"/>
  <c r="A178" i="4"/>
  <c r="G176" i="4"/>
  <c r="F175" i="4"/>
  <c r="E174" i="4"/>
  <c r="D173" i="4"/>
  <c r="C172" i="4"/>
  <c r="B171" i="4"/>
  <c r="A170" i="4"/>
  <c r="G168" i="4"/>
  <c r="F167" i="4"/>
  <c r="E166" i="4"/>
  <c r="D165" i="4"/>
  <c r="C164" i="4"/>
  <c r="B163" i="4"/>
  <c r="A162" i="4"/>
  <c r="G160" i="4"/>
  <c r="F159" i="4"/>
  <c r="E158" i="4"/>
  <c r="D157" i="4"/>
  <c r="C156" i="4"/>
  <c r="B155" i="4"/>
  <c r="A154" i="4"/>
  <c r="G152" i="4"/>
  <c r="F151" i="4"/>
  <c r="E150" i="4"/>
  <c r="D149" i="4"/>
  <c r="C148" i="4"/>
  <c r="B147" i="4"/>
  <c r="A146" i="4"/>
  <c r="G144" i="4"/>
  <c r="F143" i="4"/>
  <c r="E142" i="4"/>
  <c r="D141" i="4"/>
  <c r="C140" i="4"/>
  <c r="B139" i="4"/>
  <c r="A138" i="4"/>
  <c r="G136" i="4"/>
  <c r="F135" i="4"/>
  <c r="E134" i="4"/>
  <c r="D133" i="4"/>
  <c r="C132" i="4"/>
  <c r="B131" i="4"/>
  <c r="A130" i="4"/>
  <c r="G128" i="4"/>
  <c r="F127" i="4"/>
  <c r="E126" i="4"/>
  <c r="D125" i="4"/>
  <c r="C124" i="4"/>
  <c r="B123" i="4"/>
  <c r="A122" i="4"/>
  <c r="G120" i="4"/>
  <c r="F119" i="4"/>
  <c r="E118" i="4"/>
  <c r="D117" i="4"/>
  <c r="C116" i="4"/>
  <c r="B115" i="4"/>
  <c r="A114" i="4"/>
  <c r="G112" i="4"/>
  <c r="F111" i="4"/>
  <c r="E110" i="4"/>
  <c r="D109" i="4"/>
  <c r="C108" i="4"/>
  <c r="B107" i="4"/>
  <c r="A106" i="4"/>
  <c r="G104" i="4"/>
  <c r="F103" i="4"/>
  <c r="E102" i="4"/>
  <c r="D101" i="4"/>
  <c r="C100" i="4"/>
  <c r="B99" i="4"/>
  <c r="A98" i="4"/>
  <c r="G96" i="4"/>
  <c r="F95" i="4"/>
  <c r="E94" i="4"/>
  <c r="D93" i="4"/>
  <c r="C92" i="4"/>
  <c r="B91" i="4"/>
  <c r="A90" i="4"/>
  <c r="G88" i="4"/>
  <c r="F87" i="4"/>
  <c r="E86" i="4"/>
  <c r="D85" i="4"/>
  <c r="C84" i="4"/>
  <c r="B83" i="4"/>
  <c r="A82" i="4"/>
  <c r="G80" i="4"/>
  <c r="F79" i="4"/>
  <c r="E78" i="4"/>
  <c r="D77" i="4"/>
  <c r="C76" i="4"/>
  <c r="B75" i="4"/>
  <c r="A74" i="4"/>
  <c r="G72" i="4"/>
  <c r="F71" i="4"/>
  <c r="E70" i="4"/>
  <c r="D69" i="4"/>
  <c r="C68" i="4"/>
  <c r="B67" i="4"/>
  <c r="A66" i="4"/>
  <c r="G64" i="4"/>
  <c r="F63" i="4"/>
  <c r="E62" i="4"/>
  <c r="D61" i="4"/>
  <c r="C60" i="4"/>
  <c r="B59" i="4"/>
  <c r="A58" i="4"/>
  <c r="G56" i="4"/>
  <c r="F55" i="4"/>
  <c r="E54" i="4"/>
  <c r="D53" i="4"/>
  <c r="C52" i="4"/>
  <c r="B51" i="4"/>
  <c r="A50" i="4"/>
  <c r="G48" i="4"/>
  <c r="F47" i="4"/>
  <c r="E46" i="4"/>
  <c r="D45" i="4"/>
  <c r="C44" i="4"/>
  <c r="B43" i="4"/>
  <c r="A42" i="4"/>
  <c r="G40" i="4"/>
  <c r="F39" i="4"/>
  <c r="E38" i="4"/>
  <c r="D37" i="4"/>
  <c r="C36" i="4"/>
  <c r="B35" i="4"/>
  <c r="A34" i="4"/>
  <c r="G32" i="4"/>
  <c r="F31" i="4"/>
  <c r="E30" i="4"/>
  <c r="D29" i="4"/>
  <c r="C28" i="4"/>
  <c r="B27" i="4"/>
  <c r="A26" i="4"/>
  <c r="G24" i="4"/>
  <c r="F23" i="4"/>
  <c r="E22" i="4"/>
  <c r="D21" i="4"/>
  <c r="C20" i="4"/>
  <c r="B19" i="4"/>
  <c r="A18" i="4"/>
  <c r="G16" i="4"/>
  <c r="F15" i="4"/>
  <c r="E14" i="4"/>
  <c r="D13" i="4"/>
  <c r="C12" i="4"/>
  <c r="B11" i="4"/>
  <c r="A10" i="4"/>
  <c r="G8" i="4"/>
  <c r="F7" i="4"/>
  <c r="E6" i="4"/>
  <c r="D5" i="4"/>
  <c r="E477" i="4"/>
  <c r="D404" i="4"/>
  <c r="B377" i="4"/>
  <c r="B365" i="4"/>
  <c r="F355" i="4"/>
  <c r="E346" i="4"/>
  <c r="D337" i="4"/>
  <c r="C328" i="4"/>
  <c r="B319" i="4"/>
  <c r="A310" i="4"/>
  <c r="G300" i="4"/>
  <c r="F291" i="4"/>
  <c r="E282" i="4"/>
  <c r="D273" i="4"/>
  <c r="C264" i="4"/>
  <c r="B255" i="4"/>
  <c r="C248" i="4"/>
  <c r="A246" i="4"/>
  <c r="B244" i="4"/>
  <c r="E242" i="4"/>
  <c r="G240" i="4"/>
  <c r="D239" i="4"/>
  <c r="A238" i="4"/>
  <c r="C236" i="4"/>
  <c r="G234" i="4"/>
  <c r="D233" i="4"/>
  <c r="F231" i="4"/>
  <c r="C230" i="4"/>
  <c r="G228" i="4"/>
  <c r="B227" i="4"/>
  <c r="F225" i="4"/>
  <c r="C224" i="4"/>
  <c r="E222" i="4"/>
  <c r="B221" i="4"/>
  <c r="F219" i="4"/>
  <c r="A218" i="4"/>
  <c r="E216" i="4"/>
  <c r="B215" i="4"/>
  <c r="D213" i="4"/>
  <c r="A212" i="4"/>
  <c r="E210" i="4"/>
  <c r="G208" i="4"/>
  <c r="E207" i="4"/>
  <c r="D206" i="4"/>
  <c r="C205" i="4"/>
  <c r="B204" i="4"/>
  <c r="A203" i="4"/>
  <c r="G201" i="4"/>
  <c r="F200" i="4"/>
  <c r="E199" i="4"/>
  <c r="D198" i="4"/>
  <c r="C197" i="4"/>
  <c r="B196" i="4"/>
  <c r="A195" i="4"/>
  <c r="G193" i="4"/>
  <c r="F192" i="4"/>
  <c r="E191" i="4"/>
  <c r="D190" i="4"/>
  <c r="C189" i="4"/>
  <c r="B188" i="4"/>
  <c r="A187" i="4"/>
  <c r="G185" i="4"/>
  <c r="F184" i="4"/>
  <c r="E183" i="4"/>
  <c r="D182" i="4"/>
  <c r="C181" i="4"/>
  <c r="B180" i="4"/>
  <c r="A179" i="4"/>
  <c r="G177" i="4"/>
  <c r="F176" i="4"/>
  <c r="E175" i="4"/>
  <c r="D174" i="4"/>
  <c r="C173" i="4"/>
  <c r="B172" i="4"/>
  <c r="A171" i="4"/>
  <c r="G169" i="4"/>
  <c r="F168" i="4"/>
  <c r="E167" i="4"/>
  <c r="D166" i="4"/>
  <c r="C165" i="4"/>
  <c r="B164" i="4"/>
  <c r="A163" i="4"/>
  <c r="G161" i="4"/>
  <c r="F160" i="4"/>
  <c r="E159" i="4"/>
  <c r="D158" i="4"/>
  <c r="C157" i="4"/>
  <c r="B156" i="4"/>
  <c r="A155" i="4"/>
  <c r="G153" i="4"/>
  <c r="F152" i="4"/>
  <c r="E151" i="4"/>
  <c r="D150" i="4"/>
  <c r="C149" i="4"/>
  <c r="B148" i="4"/>
  <c r="A147" i="4"/>
  <c r="G145" i="4"/>
  <c r="F144" i="4"/>
  <c r="E143" i="4"/>
  <c r="D142" i="4"/>
  <c r="C141" i="4"/>
  <c r="B140" i="4"/>
  <c r="A139" i="4"/>
  <c r="G137" i="4"/>
  <c r="F136" i="4"/>
  <c r="E135" i="4"/>
  <c r="D134" i="4"/>
  <c r="C133" i="4"/>
  <c r="B132" i="4"/>
  <c r="A131" i="4"/>
  <c r="G129" i="4"/>
  <c r="F128" i="4"/>
  <c r="E127" i="4"/>
  <c r="D126" i="4"/>
  <c r="C125" i="4"/>
  <c r="B124" i="4"/>
  <c r="A123" i="4"/>
  <c r="G121" i="4"/>
  <c r="F120" i="4"/>
  <c r="E119" i="4"/>
  <c r="D118" i="4"/>
  <c r="C117" i="4"/>
  <c r="B116" i="4"/>
  <c r="A115" i="4"/>
  <c r="G113" i="4"/>
  <c r="F112" i="4"/>
  <c r="E111" i="4"/>
  <c r="D110" i="4"/>
  <c r="C109" i="4"/>
  <c r="B108" i="4"/>
  <c r="A107" i="4"/>
  <c r="G105" i="4"/>
  <c r="F104" i="4"/>
  <c r="E103" i="4"/>
  <c r="D102" i="4"/>
  <c r="C101" i="4"/>
  <c r="B100" i="4"/>
  <c r="A99" i="4"/>
  <c r="G97" i="4"/>
  <c r="F96" i="4"/>
  <c r="E95" i="4"/>
  <c r="D94" i="4"/>
  <c r="C93" i="4"/>
  <c r="B92" i="4"/>
  <c r="A91" i="4"/>
  <c r="G89" i="4"/>
  <c r="F88" i="4"/>
  <c r="E87" i="4"/>
  <c r="D86" i="4"/>
  <c r="C85" i="4"/>
  <c r="B84" i="4"/>
  <c r="A83" i="4"/>
  <c r="G81" i="4"/>
  <c r="F80" i="4"/>
  <c r="E79" i="4"/>
  <c r="D78" i="4"/>
  <c r="C77" i="4"/>
  <c r="B76" i="4"/>
  <c r="A75" i="4"/>
  <c r="G73" i="4"/>
  <c r="F72" i="4"/>
  <c r="E71" i="4"/>
  <c r="D70" i="4"/>
  <c r="C69" i="4"/>
  <c r="B68" i="4"/>
  <c r="A67" i="4"/>
  <c r="G65" i="4"/>
  <c r="F64" i="4"/>
  <c r="E63" i="4"/>
  <c r="D468" i="4"/>
  <c r="C395" i="4"/>
  <c r="F375" i="4"/>
  <c r="F363" i="4"/>
  <c r="E354" i="4"/>
  <c r="D345" i="4"/>
  <c r="C336" i="4"/>
  <c r="B327" i="4"/>
  <c r="A318" i="4"/>
  <c r="G308" i="4"/>
  <c r="F299" i="4"/>
  <c r="E290" i="4"/>
  <c r="D281" i="4"/>
  <c r="C272" i="4"/>
  <c r="B263" i="4"/>
  <c r="A254" i="4"/>
  <c r="G247" i="4"/>
  <c r="E245" i="4"/>
  <c r="G243" i="4"/>
  <c r="B242" i="4"/>
  <c r="F240" i="4"/>
  <c r="C239" i="4"/>
  <c r="E237" i="4"/>
  <c r="B236" i="4"/>
  <c r="F234" i="4"/>
  <c r="A233" i="4"/>
  <c r="E231" i="4"/>
  <c r="B230" i="4"/>
  <c r="D228" i="4"/>
  <c r="A227" i="4"/>
  <c r="E225" i="4"/>
  <c r="G223" i="4"/>
  <c r="D222" i="4"/>
  <c r="A221" i="4"/>
  <c r="C219" i="4"/>
  <c r="G217" i="4"/>
  <c r="D216" i="4"/>
  <c r="F214" i="4"/>
  <c r="C213" i="4"/>
  <c r="G211" i="4"/>
  <c r="B210" i="4"/>
  <c r="F208" i="4"/>
  <c r="D207" i="4"/>
  <c r="C206" i="4"/>
  <c r="B205" i="4"/>
  <c r="A204" i="4"/>
  <c r="G202" i="4"/>
  <c r="F201" i="4"/>
  <c r="E200" i="4"/>
  <c r="D199" i="4"/>
  <c r="C198" i="4"/>
  <c r="B197" i="4"/>
  <c r="A196" i="4"/>
  <c r="G194" i="4"/>
  <c r="F193" i="4"/>
  <c r="E192" i="4"/>
  <c r="D191" i="4"/>
  <c r="C190" i="4"/>
  <c r="B189" i="4"/>
  <c r="A188" i="4"/>
  <c r="G186" i="4"/>
  <c r="F185" i="4"/>
  <c r="E184" i="4"/>
  <c r="D183" i="4"/>
  <c r="C182" i="4"/>
  <c r="B181" i="4"/>
  <c r="A180" i="4"/>
  <c r="G178" i="4"/>
  <c r="F177" i="4"/>
  <c r="E176" i="4"/>
  <c r="D175" i="4"/>
  <c r="C174" i="4"/>
  <c r="B173" i="4"/>
  <c r="A172" i="4"/>
  <c r="G170" i="4"/>
  <c r="F169" i="4"/>
  <c r="E168" i="4"/>
  <c r="D167" i="4"/>
  <c r="C166" i="4"/>
  <c r="B165" i="4"/>
  <c r="A164" i="4"/>
  <c r="G162" i="4"/>
  <c r="F161" i="4"/>
  <c r="E160" i="4"/>
  <c r="D159" i="4"/>
  <c r="C158" i="4"/>
  <c r="B157" i="4"/>
  <c r="A156" i="4"/>
  <c r="G154" i="4"/>
  <c r="F153" i="4"/>
  <c r="E152" i="4"/>
  <c r="D151" i="4"/>
  <c r="C150" i="4"/>
  <c r="B149" i="4"/>
  <c r="A148" i="4"/>
  <c r="G146" i="4"/>
  <c r="F145" i="4"/>
  <c r="E144" i="4"/>
  <c r="D143" i="4"/>
  <c r="C142" i="4"/>
  <c r="B141" i="4"/>
  <c r="A140" i="4"/>
  <c r="G138" i="4"/>
  <c r="F137" i="4"/>
  <c r="E136" i="4"/>
  <c r="D135" i="4"/>
  <c r="C134" i="4"/>
  <c r="B133" i="4"/>
  <c r="A132" i="4"/>
  <c r="G130" i="4"/>
  <c r="F129" i="4"/>
  <c r="E128" i="4"/>
  <c r="D127" i="4"/>
  <c r="C126" i="4"/>
  <c r="B125" i="4"/>
  <c r="A124" i="4"/>
  <c r="G122" i="4"/>
  <c r="F121" i="4"/>
  <c r="E120" i="4"/>
  <c r="D119" i="4"/>
  <c r="C118" i="4"/>
  <c r="B117" i="4"/>
  <c r="A116" i="4"/>
  <c r="G114" i="4"/>
  <c r="F113" i="4"/>
  <c r="E112" i="4"/>
  <c r="D111" i="4"/>
  <c r="C110" i="4"/>
  <c r="B109" i="4"/>
  <c r="A108" i="4"/>
  <c r="G106" i="4"/>
  <c r="F105" i="4"/>
  <c r="E104" i="4"/>
  <c r="D103" i="4"/>
  <c r="C102" i="4"/>
  <c r="B101" i="4"/>
  <c r="A100" i="4"/>
  <c r="G98" i="4"/>
  <c r="F97" i="4"/>
  <c r="E96" i="4"/>
  <c r="D95" i="4"/>
  <c r="C94" i="4"/>
  <c r="B93" i="4"/>
  <c r="A92" i="4"/>
  <c r="G90" i="4"/>
  <c r="F89" i="4"/>
  <c r="E88" i="4"/>
  <c r="D87" i="4"/>
  <c r="C86" i="4"/>
  <c r="B85" i="4"/>
  <c r="A84" i="4"/>
  <c r="G82" i="4"/>
  <c r="F81" i="4"/>
  <c r="E80" i="4"/>
  <c r="D79" i="4"/>
  <c r="C78" i="4"/>
  <c r="B77" i="4"/>
  <c r="A76" i="4"/>
  <c r="G74" i="4"/>
  <c r="F73" i="4"/>
  <c r="E72" i="4"/>
  <c r="D71" i="4"/>
  <c r="C70" i="4"/>
  <c r="B69" i="4"/>
  <c r="A68" i="4"/>
  <c r="G66" i="4"/>
  <c r="F65" i="4"/>
  <c r="E64" i="4"/>
  <c r="D63" i="4"/>
  <c r="C459" i="4"/>
  <c r="E388" i="4"/>
  <c r="C374" i="4"/>
  <c r="E362" i="4"/>
  <c r="D353" i="4"/>
  <c r="C344" i="4"/>
  <c r="B335" i="4"/>
  <c r="A326" i="4"/>
  <c r="G316" i="4"/>
  <c r="F307" i="4"/>
  <c r="E298" i="4"/>
  <c r="D289" i="4"/>
  <c r="C280" i="4"/>
  <c r="B271" i="4"/>
  <c r="A262" i="4"/>
  <c r="G252" i="4"/>
  <c r="E247" i="4"/>
  <c r="D245" i="4"/>
  <c r="F243" i="4"/>
  <c r="A242" i="4"/>
  <c r="E240" i="4"/>
  <c r="B239" i="4"/>
  <c r="D237" i="4"/>
  <c r="A236" i="4"/>
  <c r="E234" i="4"/>
  <c r="G232" i="4"/>
  <c r="D231" i="4"/>
  <c r="A230" i="4"/>
  <c r="C228" i="4"/>
  <c r="G226" i="4"/>
  <c r="D225" i="4"/>
  <c r="F223" i="4"/>
  <c r="C222" i="4"/>
  <c r="G220" i="4"/>
  <c r="B219" i="4"/>
  <c r="F217" i="4"/>
  <c r="C216" i="4"/>
  <c r="E214" i="4"/>
  <c r="B213" i="4"/>
  <c r="F211" i="4"/>
  <c r="A210" i="4"/>
  <c r="E208" i="4"/>
  <c r="C207" i="4"/>
  <c r="B206" i="4"/>
  <c r="A205" i="4"/>
  <c r="G203" i="4"/>
  <c r="F202" i="4"/>
  <c r="E201" i="4"/>
  <c r="D200" i="4"/>
  <c r="C199" i="4"/>
  <c r="B198" i="4"/>
  <c r="A197" i="4"/>
  <c r="G195" i="4"/>
  <c r="F194" i="4"/>
  <c r="E193" i="4"/>
  <c r="D192" i="4"/>
  <c r="C191" i="4"/>
  <c r="B190" i="4"/>
  <c r="A189" i="4"/>
  <c r="G187" i="4"/>
  <c r="F186" i="4"/>
  <c r="E185" i="4"/>
  <c r="D184" i="4"/>
  <c r="C183" i="4"/>
  <c r="B182" i="4"/>
  <c r="A181" i="4"/>
  <c r="G179" i="4"/>
  <c r="F178" i="4"/>
  <c r="E177" i="4"/>
  <c r="D176" i="4"/>
  <c r="C175" i="4"/>
  <c r="B174" i="4"/>
  <c r="A173" i="4"/>
  <c r="G171" i="4"/>
  <c r="F170" i="4"/>
  <c r="E169" i="4"/>
  <c r="D168" i="4"/>
  <c r="C167" i="4"/>
  <c r="B166" i="4"/>
  <c r="A165" i="4"/>
  <c r="G163" i="4"/>
  <c r="F162" i="4"/>
  <c r="E161" i="4"/>
  <c r="D160" i="4"/>
  <c r="C159" i="4"/>
  <c r="B158" i="4"/>
  <c r="A157" i="4"/>
  <c r="G155" i="4"/>
  <c r="F154" i="4"/>
  <c r="E153" i="4"/>
  <c r="D152" i="4"/>
  <c r="C151" i="4"/>
  <c r="B150" i="4"/>
  <c r="A149" i="4"/>
  <c r="G147" i="4"/>
  <c r="F146" i="4"/>
  <c r="E145" i="4"/>
  <c r="D144" i="4"/>
  <c r="C143" i="4"/>
  <c r="B142" i="4"/>
  <c r="A141" i="4"/>
  <c r="G139" i="4"/>
  <c r="F138" i="4"/>
  <c r="E137" i="4"/>
  <c r="D136" i="4"/>
  <c r="C135" i="4"/>
  <c r="B134" i="4"/>
  <c r="A133" i="4"/>
  <c r="G131" i="4"/>
  <c r="F130" i="4"/>
  <c r="E129" i="4"/>
  <c r="D128" i="4"/>
  <c r="C127" i="4"/>
  <c r="B126" i="4"/>
  <c r="A125" i="4"/>
  <c r="G123" i="4"/>
  <c r="F122" i="4"/>
  <c r="E121" i="4"/>
  <c r="D120" i="4"/>
  <c r="C119" i="4"/>
  <c r="B118" i="4"/>
  <c r="A117" i="4"/>
  <c r="G115" i="4"/>
  <c r="F114" i="4"/>
  <c r="E113" i="4"/>
  <c r="D112" i="4"/>
  <c r="C111" i="4"/>
  <c r="B110" i="4"/>
  <c r="A109" i="4"/>
  <c r="G107" i="4"/>
  <c r="F106" i="4"/>
  <c r="E105" i="4"/>
  <c r="D104" i="4"/>
  <c r="C103" i="4"/>
  <c r="B102" i="4"/>
  <c r="A101" i="4"/>
  <c r="G99" i="4"/>
  <c r="F98" i="4"/>
  <c r="E97" i="4"/>
  <c r="D96" i="4"/>
  <c r="C95" i="4"/>
  <c r="B94" i="4"/>
  <c r="A93" i="4"/>
  <c r="G91" i="4"/>
  <c r="F90" i="4"/>
  <c r="E89" i="4"/>
  <c r="D88" i="4"/>
  <c r="C87" i="4"/>
  <c r="B86" i="4"/>
  <c r="A85" i="4"/>
  <c r="G83" i="4"/>
  <c r="F82" i="4"/>
  <c r="E81" i="4"/>
  <c r="D80" i="4"/>
  <c r="C79" i="4"/>
  <c r="B78" i="4"/>
  <c r="A77" i="4"/>
  <c r="G75" i="4"/>
  <c r="F74" i="4"/>
  <c r="E73" i="4"/>
  <c r="D72" i="4"/>
  <c r="C71" i="4"/>
  <c r="B70" i="4"/>
  <c r="A69" i="4"/>
  <c r="G67" i="4"/>
  <c r="F66" i="4"/>
  <c r="E65" i="4"/>
  <c r="B450" i="4"/>
  <c r="A386" i="4"/>
  <c r="E372" i="4"/>
  <c r="D361" i="4"/>
  <c r="C352" i="4"/>
  <c r="B343" i="4"/>
  <c r="A334" i="4"/>
  <c r="G324" i="4"/>
  <c r="F315" i="4"/>
  <c r="E306" i="4"/>
  <c r="D297" i="4"/>
  <c r="C288" i="4"/>
  <c r="B279" i="4"/>
  <c r="A270" i="4"/>
  <c r="G260" i="4"/>
  <c r="F251" i="4"/>
  <c r="C247" i="4"/>
  <c r="C245" i="4"/>
  <c r="C243" i="4"/>
  <c r="G241" i="4"/>
  <c r="D240" i="4"/>
  <c r="F238" i="4"/>
  <c r="C237" i="4"/>
  <c r="G235" i="4"/>
  <c r="B234" i="4"/>
  <c r="F232" i="4"/>
  <c r="C231" i="4"/>
  <c r="E229" i="4"/>
  <c r="B228" i="4"/>
  <c r="F226" i="4"/>
  <c r="A225" i="4"/>
  <c r="E223" i="4"/>
  <c r="B222" i="4"/>
  <c r="D220" i="4"/>
  <c r="A219" i="4"/>
  <c r="E217" i="4"/>
  <c r="G215" i="4"/>
  <c r="D214" i="4"/>
  <c r="A213" i="4"/>
  <c r="C211" i="4"/>
  <c r="G209" i="4"/>
  <c r="D208" i="4"/>
  <c r="B207" i="4"/>
  <c r="A206" i="4"/>
  <c r="G204" i="4"/>
  <c r="F203" i="4"/>
  <c r="E202" i="4"/>
  <c r="D201" i="4"/>
  <c r="C200" i="4"/>
  <c r="B199" i="4"/>
  <c r="A198" i="4"/>
  <c r="G196" i="4"/>
  <c r="F195" i="4"/>
  <c r="E194" i="4"/>
  <c r="D193" i="4"/>
  <c r="C192" i="4"/>
  <c r="B191" i="4"/>
  <c r="A190" i="4"/>
  <c r="G188" i="4"/>
  <c r="F187" i="4"/>
  <c r="E186" i="4"/>
  <c r="D185" i="4"/>
  <c r="C184" i="4"/>
  <c r="B183" i="4"/>
  <c r="A182" i="4"/>
  <c r="G180" i="4"/>
  <c r="F179" i="4"/>
  <c r="E178" i="4"/>
  <c r="D177" i="4"/>
  <c r="C176" i="4"/>
  <c r="B175" i="4"/>
  <c r="A174" i="4"/>
  <c r="G172" i="4"/>
  <c r="F171" i="4"/>
  <c r="E170" i="4"/>
  <c r="D169" i="4"/>
  <c r="C168" i="4"/>
  <c r="B167" i="4"/>
  <c r="A166" i="4"/>
  <c r="G164" i="4"/>
  <c r="F163" i="4"/>
  <c r="E162" i="4"/>
  <c r="D161" i="4"/>
  <c r="C160" i="4"/>
  <c r="B159" i="4"/>
  <c r="A158" i="4"/>
  <c r="G156" i="4"/>
  <c r="F155" i="4"/>
  <c r="E154" i="4"/>
  <c r="D153" i="4"/>
  <c r="C152" i="4"/>
  <c r="B151" i="4"/>
  <c r="A150" i="4"/>
  <c r="G148" i="4"/>
  <c r="F147" i="4"/>
  <c r="E146" i="4"/>
  <c r="D145" i="4"/>
  <c r="C144" i="4"/>
  <c r="B143" i="4"/>
  <c r="A142" i="4"/>
  <c r="G140" i="4"/>
  <c r="F139" i="4"/>
  <c r="E138" i="4"/>
  <c r="D137" i="4"/>
  <c r="C136" i="4"/>
  <c r="B135" i="4"/>
  <c r="A134" i="4"/>
  <c r="G132" i="4"/>
  <c r="F131" i="4"/>
  <c r="E130" i="4"/>
  <c r="D129" i="4"/>
  <c r="C128" i="4"/>
  <c r="B127" i="4"/>
  <c r="A126" i="4"/>
  <c r="G124" i="4"/>
  <c r="F123" i="4"/>
  <c r="E122" i="4"/>
  <c r="D121" i="4"/>
  <c r="C120" i="4"/>
  <c r="B119" i="4"/>
  <c r="A118" i="4"/>
  <c r="G116" i="4"/>
  <c r="F115" i="4"/>
  <c r="E114" i="4"/>
  <c r="D113" i="4"/>
  <c r="C112" i="4"/>
  <c r="B111" i="4"/>
  <c r="A110" i="4"/>
  <c r="G108" i="4"/>
  <c r="F107" i="4"/>
  <c r="E106" i="4"/>
  <c r="D105" i="4"/>
  <c r="C104" i="4"/>
  <c r="B103" i="4"/>
  <c r="A102" i="4"/>
  <c r="G100" i="4"/>
  <c r="F99" i="4"/>
  <c r="E98" i="4"/>
  <c r="D97" i="4"/>
  <c r="C96" i="4"/>
  <c r="B95" i="4"/>
  <c r="A94" i="4"/>
  <c r="G92" i="4"/>
  <c r="F91" i="4"/>
  <c r="E90" i="4"/>
  <c r="D89" i="4"/>
  <c r="C88" i="4"/>
  <c r="B87" i="4"/>
  <c r="A86" i="4"/>
  <c r="G84" i="4"/>
  <c r="F83" i="4"/>
  <c r="E82" i="4"/>
  <c r="D81" i="4"/>
  <c r="C80" i="4"/>
  <c r="B79" i="4"/>
  <c r="A78" i="4"/>
  <c r="G76" i="4"/>
  <c r="F75" i="4"/>
  <c r="E74" i="4"/>
  <c r="D73" i="4"/>
  <c r="C72" i="4"/>
  <c r="B71" i="4"/>
  <c r="A70" i="4"/>
  <c r="G68" i="4"/>
  <c r="F67" i="4"/>
  <c r="E66" i="4"/>
  <c r="D65" i="4"/>
  <c r="C64" i="4"/>
  <c r="B63" i="4"/>
  <c r="A441" i="4"/>
  <c r="F383" i="4"/>
  <c r="B371" i="4"/>
  <c r="C360" i="4"/>
  <c r="B351" i="4"/>
  <c r="A342" i="4"/>
  <c r="G332" i="4"/>
  <c r="F323" i="4"/>
  <c r="E314" i="4"/>
  <c r="D305" i="4"/>
  <c r="C296" i="4"/>
  <c r="B287" i="4"/>
  <c r="A278" i="4"/>
  <c r="G268" i="4"/>
  <c r="F259" i="4"/>
  <c r="E250" i="4"/>
  <c r="B247" i="4"/>
  <c r="A245" i="4"/>
  <c r="B243" i="4"/>
  <c r="F241" i="4"/>
  <c r="C240" i="4"/>
  <c r="E238" i="4"/>
  <c r="B237" i="4"/>
  <c r="F235" i="4"/>
  <c r="A234" i="4"/>
  <c r="E232" i="4"/>
  <c r="B231" i="4"/>
  <c r="D229" i="4"/>
  <c r="A228" i="4"/>
  <c r="E226" i="4"/>
  <c r="G224" i="4"/>
  <c r="D223" i="4"/>
  <c r="A222" i="4"/>
  <c r="C220" i="4"/>
  <c r="G218" i="4"/>
  <c r="D217" i="4"/>
  <c r="F215" i="4"/>
  <c r="C214" i="4"/>
  <c r="G212" i="4"/>
  <c r="B211" i="4"/>
  <c r="F209" i="4"/>
  <c r="C208" i="4"/>
  <c r="A207" i="4"/>
  <c r="G205" i="4"/>
  <c r="F204" i="4"/>
  <c r="E203" i="4"/>
  <c r="D202" i="4"/>
  <c r="C201" i="4"/>
  <c r="B200" i="4"/>
  <c r="A199" i="4"/>
  <c r="G197" i="4"/>
  <c r="F196" i="4"/>
  <c r="E195" i="4"/>
  <c r="D194" i="4"/>
  <c r="C193" i="4"/>
  <c r="B192" i="4"/>
  <c r="A191" i="4"/>
  <c r="G189" i="4"/>
  <c r="F188" i="4"/>
  <c r="E187" i="4"/>
  <c r="D186" i="4"/>
  <c r="C185" i="4"/>
  <c r="B184" i="4"/>
  <c r="A183" i="4"/>
  <c r="G181" i="4"/>
  <c r="F180" i="4"/>
  <c r="E179" i="4"/>
  <c r="D178" i="4"/>
  <c r="C177" i="4"/>
  <c r="B176" i="4"/>
  <c r="A175" i="4"/>
  <c r="G173" i="4"/>
  <c r="F172" i="4"/>
  <c r="E171" i="4"/>
  <c r="D170" i="4"/>
  <c r="C169" i="4"/>
  <c r="B168" i="4"/>
  <c r="A167" i="4"/>
  <c r="G165" i="4"/>
  <c r="F164" i="4"/>
  <c r="E163" i="4"/>
  <c r="D162" i="4"/>
  <c r="C161" i="4"/>
  <c r="B160" i="4"/>
  <c r="A159" i="4"/>
  <c r="G157" i="4"/>
  <c r="F156" i="4"/>
  <c r="E155" i="4"/>
  <c r="D154" i="4"/>
  <c r="C153" i="4"/>
  <c r="B152" i="4"/>
  <c r="A151" i="4"/>
  <c r="G149" i="4"/>
  <c r="F148" i="4"/>
  <c r="E147" i="4"/>
  <c r="D146" i="4"/>
  <c r="C145" i="4"/>
  <c r="B144" i="4"/>
  <c r="A143" i="4"/>
  <c r="G141" i="4"/>
  <c r="F140" i="4"/>
  <c r="E139" i="4"/>
  <c r="D138" i="4"/>
  <c r="C137" i="4"/>
  <c r="B136" i="4"/>
  <c r="A135" i="4"/>
  <c r="G133" i="4"/>
  <c r="F132" i="4"/>
  <c r="E131" i="4"/>
  <c r="D130" i="4"/>
  <c r="C129" i="4"/>
  <c r="B128" i="4"/>
  <c r="A127" i="4"/>
  <c r="G125" i="4"/>
  <c r="F124" i="4"/>
  <c r="E123" i="4"/>
  <c r="D122" i="4"/>
  <c r="C121" i="4"/>
  <c r="B120" i="4"/>
  <c r="A119" i="4"/>
  <c r="G117" i="4"/>
  <c r="F116" i="4"/>
  <c r="E115" i="4"/>
  <c r="D114" i="4"/>
  <c r="C113" i="4"/>
  <c r="B112" i="4"/>
  <c r="A111" i="4"/>
  <c r="G109" i="4"/>
  <c r="F108" i="4"/>
  <c r="E107" i="4"/>
  <c r="D106" i="4"/>
  <c r="C105" i="4"/>
  <c r="B104" i="4"/>
  <c r="A103" i="4"/>
  <c r="G101" i="4"/>
  <c r="F100" i="4"/>
  <c r="E99" i="4"/>
  <c r="D98" i="4"/>
  <c r="C97" i="4"/>
  <c r="B96" i="4"/>
  <c r="A95" i="4"/>
  <c r="G93" i="4"/>
  <c r="F92" i="4"/>
  <c r="E91" i="4"/>
  <c r="D90" i="4"/>
  <c r="C89" i="4"/>
  <c r="B88" i="4"/>
  <c r="A87" i="4"/>
  <c r="G85" i="4"/>
  <c r="F84" i="4"/>
  <c r="E83" i="4"/>
  <c r="D82" i="4"/>
  <c r="C81" i="4"/>
  <c r="B80" i="4"/>
  <c r="A79" i="4"/>
  <c r="G77" i="4"/>
  <c r="F76" i="4"/>
  <c r="E75" i="4"/>
  <c r="D74" i="4"/>
  <c r="C73" i="4"/>
  <c r="B72" i="4"/>
  <c r="A71" i="4"/>
  <c r="G69" i="4"/>
  <c r="F68" i="4"/>
  <c r="E67" i="4"/>
  <c r="D66" i="4"/>
  <c r="C65" i="4"/>
  <c r="B64" i="4"/>
  <c r="A63" i="4"/>
  <c r="G61" i="4"/>
  <c r="F60" i="4"/>
  <c r="E59" i="4"/>
  <c r="D58" i="4"/>
  <c r="C57" i="4"/>
  <c r="B56" i="4"/>
  <c r="A55" i="4"/>
  <c r="G53" i="4"/>
  <c r="F52" i="4"/>
  <c r="E51" i="4"/>
  <c r="D50" i="4"/>
  <c r="C49" i="4"/>
  <c r="B48" i="4"/>
  <c r="A47" i="4"/>
  <c r="G45" i="4"/>
  <c r="F44" i="4"/>
  <c r="E43" i="4"/>
  <c r="D42" i="4"/>
  <c r="C41" i="4"/>
  <c r="B40" i="4"/>
  <c r="A39" i="4"/>
  <c r="G37" i="4"/>
  <c r="F36" i="4"/>
  <c r="E35" i="4"/>
  <c r="D34" i="4"/>
  <c r="C33" i="4"/>
  <c r="G431" i="4"/>
  <c r="F381" i="4"/>
  <c r="F369" i="4"/>
  <c r="B359" i="4"/>
  <c r="A350" i="4"/>
  <c r="G340" i="4"/>
  <c r="F331" i="4"/>
  <c r="E322" i="4"/>
  <c r="D313" i="4"/>
  <c r="C304" i="4"/>
  <c r="B295" i="4"/>
  <c r="A286" i="4"/>
  <c r="G276" i="4"/>
  <c r="F267" i="4"/>
  <c r="E258" i="4"/>
  <c r="D249" i="4"/>
  <c r="F246" i="4"/>
  <c r="G244" i="4"/>
  <c r="A243" i="4"/>
  <c r="E241" i="4"/>
  <c r="G239" i="4"/>
  <c r="D238" i="4"/>
  <c r="A237" i="4"/>
  <c r="C235" i="4"/>
  <c r="G233" i="4"/>
  <c r="D232" i="4"/>
  <c r="F230" i="4"/>
  <c r="C229" i="4"/>
  <c r="G227" i="4"/>
  <c r="B226" i="4"/>
  <c r="F224" i="4"/>
  <c r="C223" i="4"/>
  <c r="E221" i="4"/>
  <c r="B220" i="4"/>
  <c r="F218" i="4"/>
  <c r="A217" i="4"/>
  <c r="E215" i="4"/>
  <c r="B214" i="4"/>
  <c r="D212" i="4"/>
  <c r="A211" i="4"/>
  <c r="E209" i="4"/>
  <c r="A208" i="4"/>
  <c r="G206" i="4"/>
  <c r="F205" i="4"/>
  <c r="E204" i="4"/>
  <c r="D203" i="4"/>
  <c r="C202" i="4"/>
  <c r="B201" i="4"/>
  <c r="A200" i="4"/>
  <c r="G198" i="4"/>
  <c r="F197" i="4"/>
  <c r="E196" i="4"/>
  <c r="D195" i="4"/>
  <c r="C194" i="4"/>
  <c r="B193" i="4"/>
  <c r="A192" i="4"/>
  <c r="G190" i="4"/>
  <c r="F189" i="4"/>
  <c r="E188" i="4"/>
  <c r="D187" i="4"/>
  <c r="C186" i="4"/>
  <c r="B185" i="4"/>
  <c r="A184" i="4"/>
  <c r="G182" i="4"/>
  <c r="F181" i="4"/>
  <c r="E180" i="4"/>
  <c r="D179" i="4"/>
  <c r="C178" i="4"/>
  <c r="B177" i="4"/>
  <c r="A176" i="4"/>
  <c r="G174" i="4"/>
  <c r="F173" i="4"/>
  <c r="E172" i="4"/>
  <c r="D171" i="4"/>
  <c r="C170" i="4"/>
  <c r="B169" i="4"/>
  <c r="A168" i="4"/>
  <c r="G166" i="4"/>
  <c r="F165" i="4"/>
  <c r="E164" i="4"/>
  <c r="D163" i="4"/>
  <c r="C162" i="4"/>
  <c r="B161" i="4"/>
  <c r="A160" i="4"/>
  <c r="G158" i="4"/>
  <c r="F157" i="4"/>
  <c r="E156" i="4"/>
  <c r="D155" i="4"/>
  <c r="C154" i="4"/>
  <c r="B153" i="4"/>
  <c r="A152" i="4"/>
  <c r="G150" i="4"/>
  <c r="F149" i="4"/>
  <c r="E148" i="4"/>
  <c r="D147" i="4"/>
  <c r="C146" i="4"/>
  <c r="B145" i="4"/>
  <c r="A144" i="4"/>
  <c r="G142" i="4"/>
  <c r="F141" i="4"/>
  <c r="E140" i="4"/>
  <c r="D139" i="4"/>
  <c r="C138" i="4"/>
  <c r="B137" i="4"/>
  <c r="A136" i="4"/>
  <c r="G134" i="4"/>
  <c r="F133" i="4"/>
  <c r="E132" i="4"/>
  <c r="D131" i="4"/>
  <c r="C130" i="4"/>
  <c r="B129" i="4"/>
  <c r="A128" i="4"/>
  <c r="G126" i="4"/>
  <c r="F125" i="4"/>
  <c r="E124" i="4"/>
  <c r="D123" i="4"/>
  <c r="C122" i="4"/>
  <c r="B121" i="4"/>
  <c r="A120" i="4"/>
  <c r="G118" i="4"/>
  <c r="F117" i="4"/>
  <c r="E116" i="4"/>
  <c r="D115" i="4"/>
  <c r="C114" i="4"/>
  <c r="B113" i="4"/>
  <c r="A112" i="4"/>
  <c r="G110" i="4"/>
  <c r="F109" i="4"/>
  <c r="E108" i="4"/>
  <c r="D107" i="4"/>
  <c r="C106" i="4"/>
  <c r="B105" i="4"/>
  <c r="A104" i="4"/>
  <c r="G102" i="4"/>
  <c r="F101" i="4"/>
  <c r="E100" i="4"/>
  <c r="D99" i="4"/>
  <c r="C98" i="4"/>
  <c r="B97" i="4"/>
  <c r="A96" i="4"/>
  <c r="G94" i="4"/>
  <c r="F93" i="4"/>
  <c r="E92" i="4"/>
  <c r="D91" i="4"/>
  <c r="C90" i="4"/>
  <c r="B89" i="4"/>
  <c r="A88" i="4"/>
  <c r="G86" i="4"/>
  <c r="F85" i="4"/>
  <c r="E84" i="4"/>
  <c r="D83" i="4"/>
  <c r="C82" i="4"/>
  <c r="B81" i="4"/>
  <c r="A80" i="4"/>
  <c r="G78" i="4"/>
  <c r="F77" i="4"/>
  <c r="E76" i="4"/>
  <c r="D75" i="4"/>
  <c r="C74" i="4"/>
  <c r="B73" i="4"/>
  <c r="A72" i="4"/>
  <c r="G70" i="4"/>
  <c r="F69" i="4"/>
  <c r="E68" i="4"/>
  <c r="D67" i="4"/>
  <c r="C66" i="4"/>
  <c r="B65" i="4"/>
  <c r="G4" i="4"/>
  <c r="B6" i="4"/>
  <c r="D7" i="4"/>
  <c r="F8" i="4"/>
  <c r="B10" i="4"/>
  <c r="D11" i="4"/>
  <c r="F12" i="4"/>
  <c r="A14" i="4"/>
  <c r="C15" i="4"/>
  <c r="E16" i="4"/>
  <c r="G17" i="4"/>
  <c r="C19" i="4"/>
  <c r="E20" i="4"/>
  <c r="G21" i="4"/>
  <c r="B23" i="4"/>
  <c r="D24" i="4"/>
  <c r="F25" i="4"/>
  <c r="A27" i="4"/>
  <c r="D28" i="4"/>
  <c r="F29" i="4"/>
  <c r="A31" i="4"/>
  <c r="C32" i="4"/>
  <c r="F33" i="4"/>
  <c r="C35" i="4"/>
  <c r="G36" i="4"/>
  <c r="C38" i="4"/>
  <c r="G39" i="4"/>
  <c r="D41" i="4"/>
  <c r="G42" i="4"/>
  <c r="D44" i="4"/>
  <c r="A46" i="4"/>
  <c r="D47" i="4"/>
  <c r="A49" i="4"/>
  <c r="E50" i="4"/>
  <c r="A52" i="4"/>
  <c r="E53" i="4"/>
  <c r="B55" i="4"/>
  <c r="E56" i="4"/>
  <c r="B58" i="4"/>
  <c r="F59" i="4"/>
  <c r="B61" i="4"/>
  <c r="F62" i="4"/>
  <c r="C67" i="4"/>
  <c r="D76" i="4"/>
  <c r="E85" i="4"/>
  <c r="F94" i="4"/>
  <c r="G103" i="4"/>
  <c r="A113" i="4"/>
  <c r="B122" i="4"/>
  <c r="C131" i="4"/>
  <c r="D140" i="4"/>
  <c r="E149" i="4"/>
  <c r="F158" i="4"/>
  <c r="G167" i="4"/>
  <c r="A177" i="4"/>
  <c r="B186" i="4"/>
  <c r="C195" i="4"/>
  <c r="D204" i="4"/>
  <c r="D215" i="4"/>
  <c r="F227" i="4"/>
  <c r="F239" i="4"/>
  <c r="F275" i="4"/>
  <c r="G348" i="4"/>
  <c r="C13" i="1"/>
  <c r="F503" i="5"/>
  <c r="D502" i="5"/>
  <c r="B501" i="5"/>
  <c r="F499" i="5"/>
  <c r="E503" i="5"/>
  <c r="C502" i="5"/>
  <c r="A501" i="5"/>
  <c r="E499" i="5"/>
  <c r="C498" i="5"/>
  <c r="A497" i="5"/>
  <c r="E495" i="5"/>
  <c r="C494" i="5"/>
  <c r="A493" i="5"/>
  <c r="E491" i="5"/>
  <c r="C503" i="5"/>
  <c r="A502" i="5"/>
  <c r="E500" i="5"/>
  <c r="C499" i="5"/>
  <c r="A498" i="5"/>
  <c r="E496" i="5"/>
  <c r="C495" i="5"/>
  <c r="A494" i="5"/>
  <c r="E492" i="5"/>
  <c r="C491" i="5"/>
  <c r="F502" i="5"/>
  <c r="D500" i="5"/>
  <c r="E498" i="5"/>
  <c r="F496" i="5"/>
  <c r="A495" i="5"/>
  <c r="C493" i="5"/>
  <c r="D491" i="5"/>
  <c r="A490" i="5"/>
  <c r="E488" i="5"/>
  <c r="C487" i="5"/>
  <c r="A486" i="5"/>
  <c r="E484" i="5"/>
  <c r="C483" i="5"/>
  <c r="A482" i="5"/>
  <c r="E480" i="5"/>
  <c r="C479" i="5"/>
  <c r="A478" i="5"/>
  <c r="E476" i="5"/>
  <c r="C475" i="5"/>
  <c r="A474" i="5"/>
  <c r="E472" i="5"/>
  <c r="C471" i="5"/>
  <c r="A470" i="5"/>
  <c r="E468" i="5"/>
  <c r="C467" i="5"/>
  <c r="A466" i="5"/>
  <c r="E464" i="5"/>
  <c r="C463" i="5"/>
  <c r="A462" i="5"/>
  <c r="E460" i="5"/>
  <c r="C459" i="5"/>
  <c r="A458" i="5"/>
  <c r="E456" i="5"/>
  <c r="C455" i="5"/>
  <c r="A454" i="5"/>
  <c r="E452" i="5"/>
  <c r="C451" i="5"/>
  <c r="A450" i="5"/>
  <c r="E448" i="5"/>
  <c r="C447" i="5"/>
  <c r="A446" i="5"/>
  <c r="E444" i="5"/>
  <c r="C443" i="5"/>
  <c r="A442" i="5"/>
  <c r="E440" i="5"/>
  <c r="C439" i="5"/>
  <c r="A438" i="5"/>
  <c r="E436" i="5"/>
  <c r="C435" i="5"/>
  <c r="A434" i="5"/>
  <c r="E432" i="5"/>
  <c r="C431" i="5"/>
  <c r="A430" i="5"/>
  <c r="E428" i="5"/>
  <c r="C427" i="5"/>
  <c r="A426" i="5"/>
  <c r="E424" i="5"/>
  <c r="C423" i="5"/>
  <c r="A422" i="5"/>
  <c r="E420" i="5"/>
  <c r="C419" i="5"/>
  <c r="A418" i="5"/>
  <c r="E502" i="5"/>
  <c r="C500" i="5"/>
  <c r="D498" i="5"/>
  <c r="D496" i="5"/>
  <c r="F494" i="5"/>
  <c r="B493" i="5"/>
  <c r="B491" i="5"/>
  <c r="F489" i="5"/>
  <c r="D488" i="5"/>
  <c r="B487" i="5"/>
  <c r="F485" i="5"/>
  <c r="D484" i="5"/>
  <c r="B483" i="5"/>
  <c r="F481" i="5"/>
  <c r="D480" i="5"/>
  <c r="B479" i="5"/>
  <c r="F477" i="5"/>
  <c r="D476" i="5"/>
  <c r="B475" i="5"/>
  <c r="F473" i="5"/>
  <c r="D472" i="5"/>
  <c r="B471" i="5"/>
  <c r="F469" i="5"/>
  <c r="D468" i="5"/>
  <c r="B467" i="5"/>
  <c r="F465" i="5"/>
  <c r="D464" i="5"/>
  <c r="B463" i="5"/>
  <c r="F461" i="5"/>
  <c r="D460" i="5"/>
  <c r="B459" i="5"/>
  <c r="F457" i="5"/>
  <c r="D456" i="5"/>
  <c r="B455" i="5"/>
  <c r="F453" i="5"/>
  <c r="D452" i="5"/>
  <c r="B451" i="5"/>
  <c r="F449" i="5"/>
  <c r="D448" i="5"/>
  <c r="B447" i="5"/>
  <c r="F445" i="5"/>
  <c r="D444" i="5"/>
  <c r="B443" i="5"/>
  <c r="F441" i="5"/>
  <c r="D440" i="5"/>
  <c r="B439" i="5"/>
  <c r="F437" i="5"/>
  <c r="D436" i="5"/>
  <c r="B435" i="5"/>
  <c r="F433" i="5"/>
  <c r="D432" i="5"/>
  <c r="B431" i="5"/>
  <c r="F429" i="5"/>
  <c r="D428" i="5"/>
  <c r="B427" i="5"/>
  <c r="F425" i="5"/>
  <c r="D424" i="5"/>
  <c r="B423" i="5"/>
  <c r="F421" i="5"/>
  <c r="D420" i="5"/>
  <c r="B419" i="5"/>
  <c r="F417" i="5"/>
  <c r="B502" i="5"/>
  <c r="B500" i="5"/>
  <c r="B498" i="5"/>
  <c r="C496" i="5"/>
  <c r="E494" i="5"/>
  <c r="F492" i="5"/>
  <c r="A491" i="5"/>
  <c r="E489" i="5"/>
  <c r="C488" i="5"/>
  <c r="A487" i="5"/>
  <c r="E485" i="5"/>
  <c r="C484" i="5"/>
  <c r="A483" i="5"/>
  <c r="E481" i="5"/>
  <c r="C480" i="5"/>
  <c r="A479" i="5"/>
  <c r="E477" i="5"/>
  <c r="C476" i="5"/>
  <c r="A475" i="5"/>
  <c r="E473" i="5"/>
  <c r="C472" i="5"/>
  <c r="A471" i="5"/>
  <c r="E469" i="5"/>
  <c r="C468" i="5"/>
  <c r="A467" i="5"/>
  <c r="E465" i="5"/>
  <c r="C464" i="5"/>
  <c r="A463" i="5"/>
  <c r="E461" i="5"/>
  <c r="C460" i="5"/>
  <c r="A459" i="5"/>
  <c r="E457" i="5"/>
  <c r="C456" i="5"/>
  <c r="A455" i="5"/>
  <c r="E453" i="5"/>
  <c r="C452" i="5"/>
  <c r="A451" i="5"/>
  <c r="E449" i="5"/>
  <c r="C448" i="5"/>
  <c r="A447" i="5"/>
  <c r="E445" i="5"/>
  <c r="C444" i="5"/>
  <c r="A443" i="5"/>
  <c r="E441" i="5"/>
  <c r="C440" i="5"/>
  <c r="A439" i="5"/>
  <c r="E437" i="5"/>
  <c r="C436" i="5"/>
  <c r="A435" i="5"/>
  <c r="E433" i="5"/>
  <c r="C432" i="5"/>
  <c r="A431" i="5"/>
  <c r="E429" i="5"/>
  <c r="C428" i="5"/>
  <c r="A427" i="5"/>
  <c r="E425" i="5"/>
  <c r="C424" i="5"/>
  <c r="A423" i="5"/>
  <c r="E421" i="5"/>
  <c r="C420" i="5"/>
  <c r="A419" i="5"/>
  <c r="E417" i="5"/>
  <c r="C416" i="5"/>
  <c r="F501" i="5"/>
  <c r="A500" i="5"/>
  <c r="F497" i="5"/>
  <c r="B496" i="5"/>
  <c r="D494" i="5"/>
  <c r="D492" i="5"/>
  <c r="F490" i="5"/>
  <c r="D489" i="5"/>
  <c r="B488" i="5"/>
  <c r="F486" i="5"/>
  <c r="D485" i="5"/>
  <c r="B484" i="5"/>
  <c r="F482" i="5"/>
  <c r="D481" i="5"/>
  <c r="B480" i="5"/>
  <c r="F478" i="5"/>
  <c r="D477" i="5"/>
  <c r="B476" i="5"/>
  <c r="F474" i="5"/>
  <c r="D473" i="5"/>
  <c r="B472" i="5"/>
  <c r="F470" i="5"/>
  <c r="D469" i="5"/>
  <c r="B468" i="5"/>
  <c r="F466" i="5"/>
  <c r="D465" i="5"/>
  <c r="B464" i="5"/>
  <c r="F462" i="5"/>
  <c r="D461" i="5"/>
  <c r="B460" i="5"/>
  <c r="F458" i="5"/>
  <c r="D457" i="5"/>
  <c r="B456" i="5"/>
  <c r="F454" i="5"/>
  <c r="D453" i="5"/>
  <c r="B452" i="5"/>
  <c r="F450" i="5"/>
  <c r="D449" i="5"/>
  <c r="B448" i="5"/>
  <c r="F446" i="5"/>
  <c r="D445" i="5"/>
  <c r="B444" i="5"/>
  <c r="F442" i="5"/>
  <c r="D441" i="5"/>
  <c r="B440" i="5"/>
  <c r="F438" i="5"/>
  <c r="D437" i="5"/>
  <c r="B436" i="5"/>
  <c r="F434" i="5"/>
  <c r="D433" i="5"/>
  <c r="B432" i="5"/>
  <c r="F430" i="5"/>
  <c r="D429" i="5"/>
  <c r="B428" i="5"/>
  <c r="F426" i="5"/>
  <c r="D425" i="5"/>
  <c r="B424" i="5"/>
  <c r="F422" i="5"/>
  <c r="D421" i="5"/>
  <c r="B420" i="5"/>
  <c r="F418" i="5"/>
  <c r="D417" i="5"/>
  <c r="E501" i="5"/>
  <c r="D499" i="5"/>
  <c r="E497" i="5"/>
  <c r="A496" i="5"/>
  <c r="B494" i="5"/>
  <c r="C492" i="5"/>
  <c r="E490" i="5"/>
  <c r="C489" i="5"/>
  <c r="A488" i="5"/>
  <c r="E486" i="5"/>
  <c r="C485" i="5"/>
  <c r="A484" i="5"/>
  <c r="E482" i="5"/>
  <c r="C481" i="5"/>
  <c r="A480" i="5"/>
  <c r="E478" i="5"/>
  <c r="C477" i="5"/>
  <c r="A476" i="5"/>
  <c r="E474" i="5"/>
  <c r="C473" i="5"/>
  <c r="A472" i="5"/>
  <c r="E470" i="5"/>
  <c r="C469" i="5"/>
  <c r="A468" i="5"/>
  <c r="E466" i="5"/>
  <c r="C465" i="5"/>
  <c r="A464" i="5"/>
  <c r="E462" i="5"/>
  <c r="C461" i="5"/>
  <c r="A460" i="5"/>
  <c r="E458" i="5"/>
  <c r="C457" i="5"/>
  <c r="A456" i="5"/>
  <c r="E454" i="5"/>
  <c r="C453" i="5"/>
  <c r="A452" i="5"/>
  <c r="E450" i="5"/>
  <c r="C449" i="5"/>
  <c r="A448" i="5"/>
  <c r="E446" i="5"/>
  <c r="C445" i="5"/>
  <c r="A444" i="5"/>
  <c r="E442" i="5"/>
  <c r="C441" i="5"/>
  <c r="A440" i="5"/>
  <c r="E438" i="5"/>
  <c r="C437" i="5"/>
  <c r="A436" i="5"/>
  <c r="E434" i="5"/>
  <c r="C433" i="5"/>
  <c r="A432" i="5"/>
  <c r="E430" i="5"/>
  <c r="C429" i="5"/>
  <c r="A428" i="5"/>
  <c r="E426" i="5"/>
  <c r="C425" i="5"/>
  <c r="A424" i="5"/>
  <c r="E422" i="5"/>
  <c r="C421" i="5"/>
  <c r="A420" i="5"/>
  <c r="E418" i="5"/>
  <c r="C417" i="5"/>
  <c r="A416" i="5"/>
  <c r="E414" i="5"/>
  <c r="C413" i="5"/>
  <c r="A412" i="5"/>
  <c r="E410" i="5"/>
  <c r="C409" i="5"/>
  <c r="A408" i="5"/>
  <c r="E406" i="5"/>
  <c r="C405" i="5"/>
  <c r="A404" i="5"/>
  <c r="E402" i="5"/>
  <c r="C401" i="5"/>
  <c r="A400" i="5"/>
  <c r="E398" i="5"/>
  <c r="C397" i="5"/>
  <c r="A396" i="5"/>
  <c r="D503" i="5"/>
  <c r="D501" i="5"/>
  <c r="B499" i="5"/>
  <c r="D497" i="5"/>
  <c r="F495" i="5"/>
  <c r="F493" i="5"/>
  <c r="B492" i="5"/>
  <c r="D490" i="5"/>
  <c r="B489" i="5"/>
  <c r="F487" i="5"/>
  <c r="D486" i="5"/>
  <c r="B485" i="5"/>
  <c r="F483" i="5"/>
  <c r="D482" i="5"/>
  <c r="B481" i="5"/>
  <c r="F479" i="5"/>
  <c r="D478" i="5"/>
  <c r="B477" i="5"/>
  <c r="F475" i="5"/>
  <c r="D474" i="5"/>
  <c r="B473" i="5"/>
  <c r="F471" i="5"/>
  <c r="D470" i="5"/>
  <c r="B469" i="5"/>
  <c r="F467" i="5"/>
  <c r="D466" i="5"/>
  <c r="B465" i="5"/>
  <c r="F463" i="5"/>
  <c r="D462" i="5"/>
  <c r="B461" i="5"/>
  <c r="F459" i="5"/>
  <c r="D458" i="5"/>
  <c r="B457" i="5"/>
  <c r="F455" i="5"/>
  <c r="D454" i="5"/>
  <c r="B453" i="5"/>
  <c r="F451" i="5"/>
  <c r="D450" i="5"/>
  <c r="B449" i="5"/>
  <c r="F447" i="5"/>
  <c r="D446" i="5"/>
  <c r="B445" i="5"/>
  <c r="F443" i="5"/>
  <c r="D442" i="5"/>
  <c r="B441" i="5"/>
  <c r="F439" i="5"/>
  <c r="D438" i="5"/>
  <c r="B437" i="5"/>
  <c r="F435" i="5"/>
  <c r="D434" i="5"/>
  <c r="B433" i="5"/>
  <c r="F431" i="5"/>
  <c r="D430" i="5"/>
  <c r="B429" i="5"/>
  <c r="F427" i="5"/>
  <c r="D426" i="5"/>
  <c r="B425" i="5"/>
  <c r="F423" i="5"/>
  <c r="D422" i="5"/>
  <c r="B421" i="5"/>
  <c r="F419" i="5"/>
  <c r="D418" i="5"/>
  <c r="B417" i="5"/>
  <c r="F415" i="5"/>
  <c r="D414" i="5"/>
  <c r="B413" i="5"/>
  <c r="F411" i="5"/>
  <c r="D410" i="5"/>
  <c r="B409" i="5"/>
  <c r="F407" i="5"/>
  <c r="D406" i="5"/>
  <c r="B405" i="5"/>
  <c r="F403" i="5"/>
  <c r="D402" i="5"/>
  <c r="B401" i="5"/>
  <c r="F399" i="5"/>
  <c r="B503" i="5"/>
  <c r="C501" i="5"/>
  <c r="A499" i="5"/>
  <c r="C497" i="5"/>
  <c r="D495" i="5"/>
  <c r="E493" i="5"/>
  <c r="A492" i="5"/>
  <c r="C490" i="5"/>
  <c r="A489" i="5"/>
  <c r="E487" i="5"/>
  <c r="C486" i="5"/>
  <c r="A485" i="5"/>
  <c r="E483" i="5"/>
  <c r="C482" i="5"/>
  <c r="A481" i="5"/>
  <c r="E479" i="5"/>
  <c r="C478" i="5"/>
  <c r="A477" i="5"/>
  <c r="E475" i="5"/>
  <c r="C474" i="5"/>
  <c r="A473" i="5"/>
  <c r="E471" i="5"/>
  <c r="C470" i="5"/>
  <c r="A469" i="5"/>
  <c r="E467" i="5"/>
  <c r="C466" i="5"/>
  <c r="A465" i="5"/>
  <c r="E463" i="5"/>
  <c r="C462" i="5"/>
  <c r="A461" i="5"/>
  <c r="E459" i="5"/>
  <c r="C458" i="5"/>
  <c r="A457" i="5"/>
  <c r="E455" i="5"/>
  <c r="C454" i="5"/>
  <c r="A453" i="5"/>
  <c r="E451" i="5"/>
  <c r="C450" i="5"/>
  <c r="A449" i="5"/>
  <c r="E447" i="5"/>
  <c r="C446" i="5"/>
  <c r="A445" i="5"/>
  <c r="E443" i="5"/>
  <c r="C442" i="5"/>
  <c r="A441" i="5"/>
  <c r="E439" i="5"/>
  <c r="C438" i="5"/>
  <c r="A437" i="5"/>
  <c r="E435" i="5"/>
  <c r="C434" i="5"/>
  <c r="A433" i="5"/>
  <c r="E431" i="5"/>
  <c r="C430" i="5"/>
  <c r="A429" i="5"/>
  <c r="E427" i="5"/>
  <c r="C426" i="5"/>
  <c r="A425" i="5"/>
  <c r="E423" i="5"/>
  <c r="C422" i="5"/>
  <c r="A421" i="5"/>
  <c r="E419" i="5"/>
  <c r="B490" i="5"/>
  <c r="D479" i="5"/>
  <c r="F468" i="5"/>
  <c r="B458" i="5"/>
  <c r="D447" i="5"/>
  <c r="F436" i="5"/>
  <c r="B426" i="5"/>
  <c r="A417" i="5"/>
  <c r="B415" i="5"/>
  <c r="D413" i="5"/>
  <c r="D411" i="5"/>
  <c r="F409" i="5"/>
  <c r="B408" i="5"/>
  <c r="B406" i="5"/>
  <c r="D404" i="5"/>
  <c r="F402" i="5"/>
  <c r="F400" i="5"/>
  <c r="B399" i="5"/>
  <c r="E397" i="5"/>
  <c r="B396" i="5"/>
  <c r="E394" i="5"/>
  <c r="C393" i="5"/>
  <c r="A392" i="5"/>
  <c r="E390" i="5"/>
  <c r="C389" i="5"/>
  <c r="A388" i="5"/>
  <c r="E386" i="5"/>
  <c r="C385" i="5"/>
  <c r="A384" i="5"/>
  <c r="E382" i="5"/>
  <c r="C381" i="5"/>
  <c r="A380" i="5"/>
  <c r="E378" i="5"/>
  <c r="C377" i="5"/>
  <c r="A376" i="5"/>
  <c r="E374" i="5"/>
  <c r="C373" i="5"/>
  <c r="A372" i="5"/>
  <c r="E370" i="5"/>
  <c r="C369" i="5"/>
  <c r="A368" i="5"/>
  <c r="E366" i="5"/>
  <c r="C365" i="5"/>
  <c r="A364" i="5"/>
  <c r="E362" i="5"/>
  <c r="C361" i="5"/>
  <c r="A360" i="5"/>
  <c r="E358" i="5"/>
  <c r="C357" i="5"/>
  <c r="A356" i="5"/>
  <c r="E354" i="5"/>
  <c r="C353" i="5"/>
  <c r="A352" i="5"/>
  <c r="E350" i="5"/>
  <c r="C349" i="5"/>
  <c r="A348" i="5"/>
  <c r="E346" i="5"/>
  <c r="C345" i="5"/>
  <c r="A344" i="5"/>
  <c r="E342" i="5"/>
  <c r="C341" i="5"/>
  <c r="A340" i="5"/>
  <c r="E338" i="5"/>
  <c r="C337" i="5"/>
  <c r="A336" i="5"/>
  <c r="E334" i="5"/>
  <c r="C333" i="5"/>
  <c r="A332" i="5"/>
  <c r="E330" i="5"/>
  <c r="C329" i="5"/>
  <c r="A328" i="5"/>
  <c r="E326" i="5"/>
  <c r="C325" i="5"/>
  <c r="A324" i="5"/>
  <c r="E322" i="5"/>
  <c r="C321" i="5"/>
  <c r="A320" i="5"/>
  <c r="E318" i="5"/>
  <c r="C317" i="5"/>
  <c r="A316" i="5"/>
  <c r="E314" i="5"/>
  <c r="C313" i="5"/>
  <c r="A312" i="5"/>
  <c r="E310" i="5"/>
  <c r="A503" i="5"/>
  <c r="F488" i="5"/>
  <c r="B478" i="5"/>
  <c r="D467" i="5"/>
  <c r="F456" i="5"/>
  <c r="B446" i="5"/>
  <c r="D435" i="5"/>
  <c r="F424" i="5"/>
  <c r="F416" i="5"/>
  <c r="A415" i="5"/>
  <c r="A413" i="5"/>
  <c r="C411" i="5"/>
  <c r="E409" i="5"/>
  <c r="E407" i="5"/>
  <c r="A406" i="5"/>
  <c r="C404" i="5"/>
  <c r="C402" i="5"/>
  <c r="E400" i="5"/>
  <c r="A399" i="5"/>
  <c r="D397" i="5"/>
  <c r="F395" i="5"/>
  <c r="D394" i="5"/>
  <c r="B393" i="5"/>
  <c r="F391" i="5"/>
  <c r="D390" i="5"/>
  <c r="B389" i="5"/>
  <c r="F387" i="5"/>
  <c r="D386" i="5"/>
  <c r="B385" i="5"/>
  <c r="F383" i="5"/>
  <c r="D382" i="5"/>
  <c r="B381" i="5"/>
  <c r="F379" i="5"/>
  <c r="D378" i="5"/>
  <c r="B377" i="5"/>
  <c r="F375" i="5"/>
  <c r="D374" i="5"/>
  <c r="B373" i="5"/>
  <c r="F371" i="5"/>
  <c r="D370" i="5"/>
  <c r="B369" i="5"/>
  <c r="F367" i="5"/>
  <c r="D366" i="5"/>
  <c r="B365" i="5"/>
  <c r="F363" i="5"/>
  <c r="D362" i="5"/>
  <c r="B361" i="5"/>
  <c r="F359" i="5"/>
  <c r="D358" i="5"/>
  <c r="B357" i="5"/>
  <c r="F355" i="5"/>
  <c r="D354" i="5"/>
  <c r="B353" i="5"/>
  <c r="F351" i="5"/>
  <c r="D350" i="5"/>
  <c r="B349" i="5"/>
  <c r="F347" i="5"/>
  <c r="D346" i="5"/>
  <c r="B345" i="5"/>
  <c r="F343" i="5"/>
  <c r="D342" i="5"/>
  <c r="B341" i="5"/>
  <c r="F339" i="5"/>
  <c r="D338" i="5"/>
  <c r="B337" i="5"/>
  <c r="F335" i="5"/>
  <c r="F500" i="5"/>
  <c r="D487" i="5"/>
  <c r="F476" i="5"/>
  <c r="B466" i="5"/>
  <c r="D455" i="5"/>
  <c r="F444" i="5"/>
  <c r="B434" i="5"/>
  <c r="D423" i="5"/>
  <c r="E416" i="5"/>
  <c r="F414" i="5"/>
  <c r="F412" i="5"/>
  <c r="B411" i="5"/>
  <c r="D409" i="5"/>
  <c r="D407" i="5"/>
  <c r="F405" i="5"/>
  <c r="B404" i="5"/>
  <c r="B402" i="5"/>
  <c r="D400" i="5"/>
  <c r="F398" i="5"/>
  <c r="B397" i="5"/>
  <c r="E395" i="5"/>
  <c r="C394" i="5"/>
  <c r="A393" i="5"/>
  <c r="E391" i="5"/>
  <c r="C390" i="5"/>
  <c r="A389" i="5"/>
  <c r="E387" i="5"/>
  <c r="C386" i="5"/>
  <c r="A385" i="5"/>
  <c r="E383" i="5"/>
  <c r="C382" i="5"/>
  <c r="A381" i="5"/>
  <c r="E379" i="5"/>
  <c r="C378" i="5"/>
  <c r="A377" i="5"/>
  <c r="E375" i="5"/>
  <c r="C374" i="5"/>
  <c r="A373" i="5"/>
  <c r="E371" i="5"/>
  <c r="C370" i="5"/>
  <c r="A369" i="5"/>
  <c r="E367" i="5"/>
  <c r="C366" i="5"/>
  <c r="A365" i="5"/>
  <c r="E363" i="5"/>
  <c r="C362" i="5"/>
  <c r="A361" i="5"/>
  <c r="E359" i="5"/>
  <c r="C358" i="5"/>
  <c r="A357" i="5"/>
  <c r="E355" i="5"/>
  <c r="C354" i="5"/>
  <c r="A353" i="5"/>
  <c r="E351" i="5"/>
  <c r="C350" i="5"/>
  <c r="A349" i="5"/>
  <c r="E347" i="5"/>
  <c r="F498" i="5"/>
  <c r="B486" i="5"/>
  <c r="D475" i="5"/>
  <c r="F464" i="5"/>
  <c r="B454" i="5"/>
  <c r="D443" i="5"/>
  <c r="F432" i="5"/>
  <c r="B422" i="5"/>
  <c r="D416" i="5"/>
  <c r="C414" i="5"/>
  <c r="E412" i="5"/>
  <c r="A411" i="5"/>
  <c r="A409" i="5"/>
  <c r="C407" i="5"/>
  <c r="E405" i="5"/>
  <c r="E403" i="5"/>
  <c r="A402" i="5"/>
  <c r="C400" i="5"/>
  <c r="D398" i="5"/>
  <c r="A397" i="5"/>
  <c r="D395" i="5"/>
  <c r="B394" i="5"/>
  <c r="F392" i="5"/>
  <c r="D391" i="5"/>
  <c r="B390" i="5"/>
  <c r="F388" i="5"/>
  <c r="D387" i="5"/>
  <c r="B386" i="5"/>
  <c r="F384" i="5"/>
  <c r="D383" i="5"/>
  <c r="B382" i="5"/>
  <c r="F380" i="5"/>
  <c r="D379" i="5"/>
  <c r="B378" i="5"/>
  <c r="F376" i="5"/>
  <c r="D375" i="5"/>
  <c r="B374" i="5"/>
  <c r="F372" i="5"/>
  <c r="D371" i="5"/>
  <c r="B370" i="5"/>
  <c r="F368" i="5"/>
  <c r="D367" i="5"/>
  <c r="B366" i="5"/>
  <c r="F364" i="5"/>
  <c r="D363" i="5"/>
  <c r="B362" i="5"/>
  <c r="F360" i="5"/>
  <c r="D359" i="5"/>
  <c r="B358" i="5"/>
  <c r="F356" i="5"/>
  <c r="D355" i="5"/>
  <c r="B354" i="5"/>
  <c r="F352" i="5"/>
  <c r="D351" i="5"/>
  <c r="B350" i="5"/>
  <c r="F348" i="5"/>
  <c r="D347" i="5"/>
  <c r="B497" i="5"/>
  <c r="F484" i="5"/>
  <c r="B474" i="5"/>
  <c r="D463" i="5"/>
  <c r="F452" i="5"/>
  <c r="B442" i="5"/>
  <c r="D431" i="5"/>
  <c r="F420" i="5"/>
  <c r="B416" i="5"/>
  <c r="B414" i="5"/>
  <c r="D412" i="5"/>
  <c r="F410" i="5"/>
  <c r="F408" i="5"/>
  <c r="B407" i="5"/>
  <c r="D405" i="5"/>
  <c r="D403" i="5"/>
  <c r="F401" i="5"/>
  <c r="B400" i="5"/>
  <c r="C398" i="5"/>
  <c r="F396" i="5"/>
  <c r="C395" i="5"/>
  <c r="A394" i="5"/>
  <c r="E392" i="5"/>
  <c r="C391" i="5"/>
  <c r="A390" i="5"/>
  <c r="E388" i="5"/>
  <c r="C387" i="5"/>
  <c r="A386" i="5"/>
  <c r="E384" i="5"/>
  <c r="C383" i="5"/>
  <c r="A382" i="5"/>
  <c r="E380" i="5"/>
  <c r="C379" i="5"/>
  <c r="A378" i="5"/>
  <c r="E376" i="5"/>
  <c r="C375" i="5"/>
  <c r="A374" i="5"/>
  <c r="E372" i="5"/>
  <c r="C371" i="5"/>
  <c r="A370" i="5"/>
  <c r="E368" i="5"/>
  <c r="C367" i="5"/>
  <c r="A366" i="5"/>
  <c r="E364" i="5"/>
  <c r="C363" i="5"/>
  <c r="A362" i="5"/>
  <c r="E360" i="5"/>
  <c r="C359" i="5"/>
  <c r="A358" i="5"/>
  <c r="E356" i="5"/>
  <c r="C355" i="5"/>
  <c r="A354" i="5"/>
  <c r="E352" i="5"/>
  <c r="C351" i="5"/>
  <c r="A350" i="5"/>
  <c r="E348" i="5"/>
  <c r="C347" i="5"/>
  <c r="A346" i="5"/>
  <c r="E344" i="5"/>
  <c r="C343" i="5"/>
  <c r="A342" i="5"/>
  <c r="E340" i="5"/>
  <c r="C339" i="5"/>
  <c r="A338" i="5"/>
  <c r="E336" i="5"/>
  <c r="C335" i="5"/>
  <c r="A334" i="5"/>
  <c r="E332" i="5"/>
  <c r="C331" i="5"/>
  <c r="B495" i="5"/>
  <c r="D483" i="5"/>
  <c r="F472" i="5"/>
  <c r="B462" i="5"/>
  <c r="D451" i="5"/>
  <c r="F440" i="5"/>
  <c r="B430" i="5"/>
  <c r="D419" i="5"/>
  <c r="E415" i="5"/>
  <c r="A414" i="5"/>
  <c r="C412" i="5"/>
  <c r="C410" i="5"/>
  <c r="E408" i="5"/>
  <c r="A407" i="5"/>
  <c r="A405" i="5"/>
  <c r="C403" i="5"/>
  <c r="E401" i="5"/>
  <c r="E399" i="5"/>
  <c r="B398" i="5"/>
  <c r="E396" i="5"/>
  <c r="B395" i="5"/>
  <c r="F393" i="5"/>
  <c r="D392" i="5"/>
  <c r="B391" i="5"/>
  <c r="F389" i="5"/>
  <c r="D388" i="5"/>
  <c r="B387" i="5"/>
  <c r="F385" i="5"/>
  <c r="D384" i="5"/>
  <c r="B383" i="5"/>
  <c r="F381" i="5"/>
  <c r="D380" i="5"/>
  <c r="B379" i="5"/>
  <c r="F377" i="5"/>
  <c r="D376" i="5"/>
  <c r="B375" i="5"/>
  <c r="F373" i="5"/>
  <c r="D372" i="5"/>
  <c r="B371" i="5"/>
  <c r="F369" i="5"/>
  <c r="D368" i="5"/>
  <c r="B367" i="5"/>
  <c r="F365" i="5"/>
  <c r="D364" i="5"/>
  <c r="B363" i="5"/>
  <c r="F361" i="5"/>
  <c r="D360" i="5"/>
  <c r="B359" i="5"/>
  <c r="F357" i="5"/>
  <c r="D356" i="5"/>
  <c r="B355" i="5"/>
  <c r="F353" i="5"/>
  <c r="D352" i="5"/>
  <c r="B351" i="5"/>
  <c r="F349" i="5"/>
  <c r="D493" i="5"/>
  <c r="B482" i="5"/>
  <c r="D471" i="5"/>
  <c r="F460" i="5"/>
  <c r="B450" i="5"/>
  <c r="D439" i="5"/>
  <c r="F428" i="5"/>
  <c r="C418" i="5"/>
  <c r="D415" i="5"/>
  <c r="F413" i="5"/>
  <c r="B412" i="5"/>
  <c r="B410" i="5"/>
  <c r="D408" i="5"/>
  <c r="F406" i="5"/>
  <c r="F404" i="5"/>
  <c r="B403" i="5"/>
  <c r="D401" i="5"/>
  <c r="D399" i="5"/>
  <c r="A398" i="5"/>
  <c r="D396" i="5"/>
  <c r="A395" i="5"/>
  <c r="E393" i="5"/>
  <c r="C392" i="5"/>
  <c r="A391" i="5"/>
  <c r="E389" i="5"/>
  <c r="C388" i="5"/>
  <c r="A387" i="5"/>
  <c r="E385" i="5"/>
  <c r="C384" i="5"/>
  <c r="A383" i="5"/>
  <c r="E381" i="5"/>
  <c r="C380" i="5"/>
  <c r="A379" i="5"/>
  <c r="E377" i="5"/>
  <c r="C376" i="5"/>
  <c r="A375" i="5"/>
  <c r="E373" i="5"/>
  <c r="C372" i="5"/>
  <c r="A371" i="5"/>
  <c r="E369" i="5"/>
  <c r="C368" i="5"/>
  <c r="A367" i="5"/>
  <c r="E365" i="5"/>
  <c r="B438" i="5"/>
  <c r="C406" i="5"/>
  <c r="D393" i="5"/>
  <c r="F382" i="5"/>
  <c r="B372" i="5"/>
  <c r="A363" i="5"/>
  <c r="E357" i="5"/>
  <c r="C352" i="5"/>
  <c r="B348" i="5"/>
  <c r="D345" i="5"/>
  <c r="B343" i="5"/>
  <c r="A341" i="5"/>
  <c r="A339" i="5"/>
  <c r="F336" i="5"/>
  <c r="F334" i="5"/>
  <c r="A333" i="5"/>
  <c r="B331" i="5"/>
  <c r="E329" i="5"/>
  <c r="B328" i="5"/>
  <c r="D326" i="5"/>
  <c r="A325" i="5"/>
  <c r="D323" i="5"/>
  <c r="A322" i="5"/>
  <c r="D320" i="5"/>
  <c r="A319" i="5"/>
  <c r="D317" i="5"/>
  <c r="F315" i="5"/>
  <c r="C314" i="5"/>
  <c r="F312" i="5"/>
  <c r="C311" i="5"/>
  <c r="F309" i="5"/>
  <c r="D308" i="5"/>
  <c r="B307" i="5"/>
  <c r="F305" i="5"/>
  <c r="D304" i="5"/>
  <c r="B303" i="5"/>
  <c r="F301" i="5"/>
  <c r="D300" i="5"/>
  <c r="B299" i="5"/>
  <c r="F297" i="5"/>
  <c r="D296" i="5"/>
  <c r="B295" i="5"/>
  <c r="F293" i="5"/>
  <c r="D292" i="5"/>
  <c r="B291" i="5"/>
  <c r="F289" i="5"/>
  <c r="D288" i="5"/>
  <c r="B287" i="5"/>
  <c r="F285" i="5"/>
  <c r="D284" i="5"/>
  <c r="B283" i="5"/>
  <c r="F281" i="5"/>
  <c r="D280" i="5"/>
  <c r="B279" i="5"/>
  <c r="F277" i="5"/>
  <c r="D276" i="5"/>
  <c r="B275" i="5"/>
  <c r="F273" i="5"/>
  <c r="D272" i="5"/>
  <c r="B271" i="5"/>
  <c r="F269" i="5"/>
  <c r="D268" i="5"/>
  <c r="B267" i="5"/>
  <c r="F265" i="5"/>
  <c r="D264" i="5"/>
  <c r="B263" i="5"/>
  <c r="F261" i="5"/>
  <c r="D260" i="5"/>
  <c r="B259" i="5"/>
  <c r="F257" i="5"/>
  <c r="D256" i="5"/>
  <c r="B255" i="5"/>
  <c r="F253" i="5"/>
  <c r="D252" i="5"/>
  <c r="B251" i="5"/>
  <c r="F249" i="5"/>
  <c r="D248" i="5"/>
  <c r="B247" i="5"/>
  <c r="F245" i="5"/>
  <c r="D244" i="5"/>
  <c r="B243" i="5"/>
  <c r="F241" i="5"/>
  <c r="D240" i="5"/>
  <c r="B239" i="5"/>
  <c r="D427" i="5"/>
  <c r="E404" i="5"/>
  <c r="B392" i="5"/>
  <c r="D381" i="5"/>
  <c r="F370" i="5"/>
  <c r="F362" i="5"/>
  <c r="D357" i="5"/>
  <c r="B352" i="5"/>
  <c r="B347" i="5"/>
  <c r="A345" i="5"/>
  <c r="A343" i="5"/>
  <c r="F340" i="5"/>
  <c r="F338" i="5"/>
  <c r="D336" i="5"/>
  <c r="D334" i="5"/>
  <c r="F332" i="5"/>
  <c r="A331" i="5"/>
  <c r="D329" i="5"/>
  <c r="F327" i="5"/>
  <c r="C326" i="5"/>
  <c r="F324" i="5"/>
  <c r="C323" i="5"/>
  <c r="F321" i="5"/>
  <c r="C320" i="5"/>
  <c r="F318" i="5"/>
  <c r="B317" i="5"/>
  <c r="E315" i="5"/>
  <c r="B314" i="5"/>
  <c r="E312" i="5"/>
  <c r="B311" i="5"/>
  <c r="E309" i="5"/>
  <c r="C308" i="5"/>
  <c r="A307" i="5"/>
  <c r="E305" i="5"/>
  <c r="C304" i="5"/>
  <c r="A303" i="5"/>
  <c r="E301" i="5"/>
  <c r="C300" i="5"/>
  <c r="A299" i="5"/>
  <c r="E297" i="5"/>
  <c r="C296" i="5"/>
  <c r="A295" i="5"/>
  <c r="E293" i="5"/>
  <c r="C292" i="5"/>
  <c r="A291" i="5"/>
  <c r="E289" i="5"/>
  <c r="C288" i="5"/>
  <c r="A287" i="5"/>
  <c r="E285" i="5"/>
  <c r="C284" i="5"/>
  <c r="A283" i="5"/>
  <c r="E281" i="5"/>
  <c r="C280" i="5"/>
  <c r="A279" i="5"/>
  <c r="E277" i="5"/>
  <c r="C276" i="5"/>
  <c r="A275" i="5"/>
  <c r="E273" i="5"/>
  <c r="C272" i="5"/>
  <c r="A271" i="5"/>
  <c r="E269" i="5"/>
  <c r="C268" i="5"/>
  <c r="A267" i="5"/>
  <c r="E265" i="5"/>
  <c r="C264" i="5"/>
  <c r="A263" i="5"/>
  <c r="E261" i="5"/>
  <c r="C260" i="5"/>
  <c r="A259" i="5"/>
  <c r="E257" i="5"/>
  <c r="C256" i="5"/>
  <c r="A255" i="5"/>
  <c r="E253" i="5"/>
  <c r="C252" i="5"/>
  <c r="A251" i="5"/>
  <c r="E249" i="5"/>
  <c r="C248" i="5"/>
  <c r="B418" i="5"/>
  <c r="A403" i="5"/>
  <c r="F390" i="5"/>
  <c r="B380" i="5"/>
  <c r="D369" i="5"/>
  <c r="E361" i="5"/>
  <c r="C356" i="5"/>
  <c r="A351" i="5"/>
  <c r="A347" i="5"/>
  <c r="F344" i="5"/>
  <c r="F342" i="5"/>
  <c r="D340" i="5"/>
  <c r="C338" i="5"/>
  <c r="C336" i="5"/>
  <c r="C334" i="5"/>
  <c r="D332" i="5"/>
  <c r="F330" i="5"/>
  <c r="B329" i="5"/>
  <c r="E327" i="5"/>
  <c r="B326" i="5"/>
  <c r="E324" i="5"/>
  <c r="B323" i="5"/>
  <c r="E321" i="5"/>
  <c r="B320" i="5"/>
  <c r="D318" i="5"/>
  <c r="A317" i="5"/>
  <c r="D315" i="5"/>
  <c r="A314" i="5"/>
  <c r="D312" i="5"/>
  <c r="A311" i="5"/>
  <c r="D309" i="5"/>
  <c r="B308" i="5"/>
  <c r="F306" i="5"/>
  <c r="D305" i="5"/>
  <c r="B304" i="5"/>
  <c r="F302" i="5"/>
  <c r="D301" i="5"/>
  <c r="B300" i="5"/>
  <c r="F298" i="5"/>
  <c r="D297" i="5"/>
  <c r="B296" i="5"/>
  <c r="F294" i="5"/>
  <c r="D293" i="5"/>
  <c r="B292" i="5"/>
  <c r="F290" i="5"/>
  <c r="D289" i="5"/>
  <c r="B288" i="5"/>
  <c r="F286" i="5"/>
  <c r="D285" i="5"/>
  <c r="B284" i="5"/>
  <c r="F282" i="5"/>
  <c r="D281" i="5"/>
  <c r="B280" i="5"/>
  <c r="F278" i="5"/>
  <c r="D277" i="5"/>
  <c r="B276" i="5"/>
  <c r="F274" i="5"/>
  <c r="D273" i="5"/>
  <c r="B272" i="5"/>
  <c r="F270" i="5"/>
  <c r="D269" i="5"/>
  <c r="B268" i="5"/>
  <c r="F266" i="5"/>
  <c r="D265" i="5"/>
  <c r="B264" i="5"/>
  <c r="F262" i="5"/>
  <c r="D261" i="5"/>
  <c r="B260" i="5"/>
  <c r="F258" i="5"/>
  <c r="D257" i="5"/>
  <c r="B256" i="5"/>
  <c r="F254" i="5"/>
  <c r="F491" i="5"/>
  <c r="C415" i="5"/>
  <c r="A401" i="5"/>
  <c r="D389" i="5"/>
  <c r="F378" i="5"/>
  <c r="B368" i="5"/>
  <c r="D361" i="5"/>
  <c r="B356" i="5"/>
  <c r="F350" i="5"/>
  <c r="F346" i="5"/>
  <c r="D344" i="5"/>
  <c r="C342" i="5"/>
  <c r="C340" i="5"/>
  <c r="B338" i="5"/>
  <c r="B336" i="5"/>
  <c r="B334" i="5"/>
  <c r="C332" i="5"/>
  <c r="D330" i="5"/>
  <c r="A329" i="5"/>
  <c r="D327" i="5"/>
  <c r="A326" i="5"/>
  <c r="D324" i="5"/>
  <c r="A323" i="5"/>
  <c r="D321" i="5"/>
  <c r="F319" i="5"/>
  <c r="C318" i="5"/>
  <c r="F316" i="5"/>
  <c r="C315" i="5"/>
  <c r="F313" i="5"/>
  <c r="C312" i="5"/>
  <c r="F310" i="5"/>
  <c r="C309" i="5"/>
  <c r="A308" i="5"/>
  <c r="E306" i="5"/>
  <c r="C305" i="5"/>
  <c r="A304" i="5"/>
  <c r="E302" i="5"/>
  <c r="C301" i="5"/>
  <c r="A300" i="5"/>
  <c r="E298" i="5"/>
  <c r="C297" i="5"/>
  <c r="A296" i="5"/>
  <c r="E294" i="5"/>
  <c r="C293" i="5"/>
  <c r="A292" i="5"/>
  <c r="E290" i="5"/>
  <c r="C289" i="5"/>
  <c r="A288" i="5"/>
  <c r="E286" i="5"/>
  <c r="C285" i="5"/>
  <c r="A284" i="5"/>
  <c r="E282" i="5"/>
  <c r="C281" i="5"/>
  <c r="A280" i="5"/>
  <c r="E278" i="5"/>
  <c r="C277" i="5"/>
  <c r="A276" i="5"/>
  <c r="E274" i="5"/>
  <c r="C273" i="5"/>
  <c r="A272" i="5"/>
  <c r="E270" i="5"/>
  <c r="C269" i="5"/>
  <c r="A268" i="5"/>
  <c r="E266" i="5"/>
  <c r="C265" i="5"/>
  <c r="A264" i="5"/>
  <c r="F480" i="5"/>
  <c r="E413" i="5"/>
  <c r="C399" i="5"/>
  <c r="B388" i="5"/>
  <c r="D377" i="5"/>
  <c r="F366" i="5"/>
  <c r="C360" i="5"/>
  <c r="A355" i="5"/>
  <c r="E349" i="5"/>
  <c r="C346" i="5"/>
  <c r="C344" i="5"/>
  <c r="B342" i="5"/>
  <c r="B340" i="5"/>
  <c r="F337" i="5"/>
  <c r="E335" i="5"/>
  <c r="F333" i="5"/>
  <c r="B332" i="5"/>
  <c r="C330" i="5"/>
  <c r="F328" i="5"/>
  <c r="C327" i="5"/>
  <c r="F325" i="5"/>
  <c r="C324" i="5"/>
  <c r="F322" i="5"/>
  <c r="B321" i="5"/>
  <c r="E319" i="5"/>
  <c r="B318" i="5"/>
  <c r="E316" i="5"/>
  <c r="B315" i="5"/>
  <c r="E313" i="5"/>
  <c r="B312" i="5"/>
  <c r="D310" i="5"/>
  <c r="B309" i="5"/>
  <c r="F307" i="5"/>
  <c r="D306" i="5"/>
  <c r="B305" i="5"/>
  <c r="F303" i="5"/>
  <c r="D302" i="5"/>
  <c r="B301" i="5"/>
  <c r="F299" i="5"/>
  <c r="D298" i="5"/>
  <c r="B297" i="5"/>
  <c r="F295" i="5"/>
  <c r="D294" i="5"/>
  <c r="B293" i="5"/>
  <c r="F291" i="5"/>
  <c r="D290" i="5"/>
  <c r="B289" i="5"/>
  <c r="F287" i="5"/>
  <c r="D286" i="5"/>
  <c r="B285" i="5"/>
  <c r="F283" i="5"/>
  <c r="D282" i="5"/>
  <c r="B281" i="5"/>
  <c r="F279" i="5"/>
  <c r="D278" i="5"/>
  <c r="B277" i="5"/>
  <c r="F275" i="5"/>
  <c r="D274" i="5"/>
  <c r="B273" i="5"/>
  <c r="F271" i="5"/>
  <c r="D270" i="5"/>
  <c r="B269" i="5"/>
  <c r="F267" i="5"/>
  <c r="D266" i="5"/>
  <c r="B265" i="5"/>
  <c r="F263" i="5"/>
  <c r="D262" i="5"/>
  <c r="B261" i="5"/>
  <c r="F259" i="5"/>
  <c r="D258" i="5"/>
  <c r="B257" i="5"/>
  <c r="F255" i="5"/>
  <c r="D254" i="5"/>
  <c r="B253" i="5"/>
  <c r="F251" i="5"/>
  <c r="D250" i="5"/>
  <c r="B249" i="5"/>
  <c r="F247" i="5"/>
  <c r="D246" i="5"/>
  <c r="B245" i="5"/>
  <c r="F243" i="5"/>
  <c r="D242" i="5"/>
  <c r="B241" i="5"/>
  <c r="F239" i="5"/>
  <c r="D238" i="5"/>
  <c r="B237" i="5"/>
  <c r="F235" i="5"/>
  <c r="D234" i="5"/>
  <c r="B233" i="5"/>
  <c r="B470" i="5"/>
  <c r="E411" i="5"/>
  <c r="F397" i="5"/>
  <c r="F386" i="5"/>
  <c r="B376" i="5"/>
  <c r="D365" i="5"/>
  <c r="B360" i="5"/>
  <c r="F354" i="5"/>
  <c r="D349" i="5"/>
  <c r="B346" i="5"/>
  <c r="B344" i="5"/>
  <c r="F341" i="5"/>
  <c r="E339" i="5"/>
  <c r="E337" i="5"/>
  <c r="D335" i="5"/>
  <c r="E333" i="5"/>
  <c r="F331" i="5"/>
  <c r="B330" i="5"/>
  <c r="E328" i="5"/>
  <c r="B327" i="5"/>
  <c r="E325" i="5"/>
  <c r="B324" i="5"/>
  <c r="D322" i="5"/>
  <c r="A321" i="5"/>
  <c r="D319" i="5"/>
  <c r="A318" i="5"/>
  <c r="D316" i="5"/>
  <c r="A315" i="5"/>
  <c r="D313" i="5"/>
  <c r="F311" i="5"/>
  <c r="C310" i="5"/>
  <c r="A309" i="5"/>
  <c r="E307" i="5"/>
  <c r="C306" i="5"/>
  <c r="A305" i="5"/>
  <c r="E303" i="5"/>
  <c r="C302" i="5"/>
  <c r="A301" i="5"/>
  <c r="E299" i="5"/>
  <c r="C298" i="5"/>
  <c r="A297" i="5"/>
  <c r="E295" i="5"/>
  <c r="C294" i="5"/>
  <c r="A293" i="5"/>
  <c r="E291" i="5"/>
  <c r="C290" i="5"/>
  <c r="A289" i="5"/>
  <c r="E287" i="5"/>
  <c r="C286" i="5"/>
  <c r="A285" i="5"/>
  <c r="E283" i="5"/>
  <c r="C282" i="5"/>
  <c r="A281" i="5"/>
  <c r="E279" i="5"/>
  <c r="C278" i="5"/>
  <c r="A277" i="5"/>
  <c r="E275" i="5"/>
  <c r="C274" i="5"/>
  <c r="A273" i="5"/>
  <c r="E271" i="5"/>
  <c r="C270" i="5"/>
  <c r="A269" i="5"/>
  <c r="E267" i="5"/>
  <c r="C266" i="5"/>
  <c r="A265" i="5"/>
  <c r="E263" i="5"/>
  <c r="C262" i="5"/>
  <c r="A261" i="5"/>
  <c r="E259" i="5"/>
  <c r="D459" i="5"/>
  <c r="A410" i="5"/>
  <c r="C396" i="5"/>
  <c r="D385" i="5"/>
  <c r="F374" i="5"/>
  <c r="C364" i="5"/>
  <c r="A359" i="5"/>
  <c r="E353" i="5"/>
  <c r="D348" i="5"/>
  <c r="F345" i="5"/>
  <c r="E343" i="5"/>
  <c r="E341" i="5"/>
  <c r="D339" i="5"/>
  <c r="D337" i="5"/>
  <c r="B335" i="5"/>
  <c r="D333" i="5"/>
  <c r="E331" i="5"/>
  <c r="A330" i="5"/>
  <c r="D353" i="5"/>
  <c r="B333" i="5"/>
  <c r="B325" i="5"/>
  <c r="B319" i="5"/>
  <c r="A313" i="5"/>
  <c r="C307" i="5"/>
  <c r="A302" i="5"/>
  <c r="E296" i="5"/>
  <c r="C291" i="5"/>
  <c r="A286" i="5"/>
  <c r="E280" i="5"/>
  <c r="C275" i="5"/>
  <c r="A270" i="5"/>
  <c r="E264" i="5"/>
  <c r="E260" i="5"/>
  <c r="C257" i="5"/>
  <c r="E254" i="5"/>
  <c r="E252" i="5"/>
  <c r="C250" i="5"/>
  <c r="B248" i="5"/>
  <c r="C246" i="5"/>
  <c r="E244" i="5"/>
  <c r="F242" i="5"/>
  <c r="A241" i="5"/>
  <c r="C239" i="5"/>
  <c r="E237" i="5"/>
  <c r="B236" i="5"/>
  <c r="E234" i="5"/>
  <c r="A233" i="5"/>
  <c r="E231" i="5"/>
  <c r="C230" i="5"/>
  <c r="A229" i="5"/>
  <c r="E227" i="5"/>
  <c r="C226" i="5"/>
  <c r="A225" i="5"/>
  <c r="E223" i="5"/>
  <c r="C222" i="5"/>
  <c r="A221" i="5"/>
  <c r="E219" i="5"/>
  <c r="C218" i="5"/>
  <c r="A217" i="5"/>
  <c r="E215" i="5"/>
  <c r="C214" i="5"/>
  <c r="A213" i="5"/>
  <c r="E211" i="5"/>
  <c r="C210" i="5"/>
  <c r="A209" i="5"/>
  <c r="E207" i="5"/>
  <c r="C206" i="5"/>
  <c r="A205" i="5"/>
  <c r="E203" i="5"/>
  <c r="C202" i="5"/>
  <c r="A201" i="5"/>
  <c r="E199" i="5"/>
  <c r="C198" i="5"/>
  <c r="A197" i="5"/>
  <c r="E195" i="5"/>
  <c r="C194" i="5"/>
  <c r="A193" i="5"/>
  <c r="E191" i="5"/>
  <c r="C190" i="5"/>
  <c r="A189" i="5"/>
  <c r="E187" i="5"/>
  <c r="C186" i="5"/>
  <c r="A185" i="5"/>
  <c r="E183" i="5"/>
  <c r="C182" i="5"/>
  <c r="A181" i="5"/>
  <c r="E179" i="5"/>
  <c r="C178" i="5"/>
  <c r="A177" i="5"/>
  <c r="E175" i="5"/>
  <c r="C174" i="5"/>
  <c r="A173" i="5"/>
  <c r="E171" i="5"/>
  <c r="C170" i="5"/>
  <c r="A169" i="5"/>
  <c r="E167" i="5"/>
  <c r="C166" i="5"/>
  <c r="A165" i="5"/>
  <c r="E163" i="5"/>
  <c r="C162" i="5"/>
  <c r="A161" i="5"/>
  <c r="E159" i="5"/>
  <c r="C158" i="5"/>
  <c r="A157" i="5"/>
  <c r="E155" i="5"/>
  <c r="C154" i="5"/>
  <c r="A153" i="5"/>
  <c r="F448" i="5"/>
  <c r="C348" i="5"/>
  <c r="D331" i="5"/>
  <c r="F323" i="5"/>
  <c r="F317" i="5"/>
  <c r="E311" i="5"/>
  <c r="B306" i="5"/>
  <c r="F300" i="5"/>
  <c r="D295" i="5"/>
  <c r="B290" i="5"/>
  <c r="F284" i="5"/>
  <c r="D279" i="5"/>
  <c r="B274" i="5"/>
  <c r="F268" i="5"/>
  <c r="D263" i="5"/>
  <c r="A260" i="5"/>
  <c r="A257" i="5"/>
  <c r="C254" i="5"/>
  <c r="B252" i="5"/>
  <c r="B250" i="5"/>
  <c r="A248" i="5"/>
  <c r="B246" i="5"/>
  <c r="C244" i="5"/>
  <c r="E242" i="5"/>
  <c r="F240" i="5"/>
  <c r="A239" i="5"/>
  <c r="D237" i="5"/>
  <c r="A236" i="5"/>
  <c r="C234" i="5"/>
  <c r="F232" i="5"/>
  <c r="D231" i="5"/>
  <c r="B230" i="5"/>
  <c r="F228" i="5"/>
  <c r="D227" i="5"/>
  <c r="B226" i="5"/>
  <c r="F224" i="5"/>
  <c r="D223" i="5"/>
  <c r="B222" i="5"/>
  <c r="F220" i="5"/>
  <c r="D219" i="5"/>
  <c r="B218" i="5"/>
  <c r="F216" i="5"/>
  <c r="D215" i="5"/>
  <c r="B214" i="5"/>
  <c r="F212" i="5"/>
  <c r="D211" i="5"/>
  <c r="B210" i="5"/>
  <c r="F208" i="5"/>
  <c r="D207" i="5"/>
  <c r="B206" i="5"/>
  <c r="F204" i="5"/>
  <c r="D203" i="5"/>
  <c r="B202" i="5"/>
  <c r="F200" i="5"/>
  <c r="D199" i="5"/>
  <c r="B198" i="5"/>
  <c r="F196" i="5"/>
  <c r="D195" i="5"/>
  <c r="B194" i="5"/>
  <c r="F192" i="5"/>
  <c r="D191" i="5"/>
  <c r="B190" i="5"/>
  <c r="F188" i="5"/>
  <c r="D187" i="5"/>
  <c r="B186" i="5"/>
  <c r="F184" i="5"/>
  <c r="D183" i="5"/>
  <c r="B182" i="5"/>
  <c r="F180" i="5"/>
  <c r="D179" i="5"/>
  <c r="B178" i="5"/>
  <c r="F176" i="5"/>
  <c r="D175" i="5"/>
  <c r="B174" i="5"/>
  <c r="F172" i="5"/>
  <c r="D171" i="5"/>
  <c r="B170" i="5"/>
  <c r="F168" i="5"/>
  <c r="D167" i="5"/>
  <c r="B166" i="5"/>
  <c r="F164" i="5"/>
  <c r="D163" i="5"/>
  <c r="B162" i="5"/>
  <c r="F160" i="5"/>
  <c r="D159" i="5"/>
  <c r="B158" i="5"/>
  <c r="F156" i="5"/>
  <c r="D155" i="5"/>
  <c r="B154" i="5"/>
  <c r="F152" i="5"/>
  <c r="D151" i="5"/>
  <c r="B150" i="5"/>
  <c r="F148" i="5"/>
  <c r="D147" i="5"/>
  <c r="B146" i="5"/>
  <c r="F144" i="5"/>
  <c r="D143" i="5"/>
  <c r="B142" i="5"/>
  <c r="F140" i="5"/>
  <c r="D139" i="5"/>
  <c r="B138" i="5"/>
  <c r="F136" i="5"/>
  <c r="D135" i="5"/>
  <c r="B134" i="5"/>
  <c r="C408" i="5"/>
  <c r="E345" i="5"/>
  <c r="F329" i="5"/>
  <c r="E323" i="5"/>
  <c r="E317" i="5"/>
  <c r="D311" i="5"/>
  <c r="A306" i="5"/>
  <c r="E300" i="5"/>
  <c r="C295" i="5"/>
  <c r="A290" i="5"/>
  <c r="E284" i="5"/>
  <c r="C279" i="5"/>
  <c r="A274" i="5"/>
  <c r="E268" i="5"/>
  <c r="C263" i="5"/>
  <c r="D259" i="5"/>
  <c r="F256" i="5"/>
  <c r="B254" i="5"/>
  <c r="A252" i="5"/>
  <c r="A250" i="5"/>
  <c r="E247" i="5"/>
  <c r="A246" i="5"/>
  <c r="B244" i="5"/>
  <c r="C242" i="5"/>
  <c r="E240" i="5"/>
  <c r="F238" i="5"/>
  <c r="C237" i="5"/>
  <c r="E235" i="5"/>
  <c r="B234" i="5"/>
  <c r="E232" i="5"/>
  <c r="C231" i="5"/>
  <c r="A230" i="5"/>
  <c r="E228" i="5"/>
  <c r="C227" i="5"/>
  <c r="A226" i="5"/>
  <c r="E224" i="5"/>
  <c r="C223" i="5"/>
  <c r="A222" i="5"/>
  <c r="E220" i="5"/>
  <c r="C219" i="5"/>
  <c r="A218" i="5"/>
  <c r="E216" i="5"/>
  <c r="C215" i="5"/>
  <c r="A214" i="5"/>
  <c r="E212" i="5"/>
  <c r="C211" i="5"/>
  <c r="A210" i="5"/>
  <c r="E208" i="5"/>
  <c r="C207" i="5"/>
  <c r="A206" i="5"/>
  <c r="E204" i="5"/>
  <c r="C203" i="5"/>
  <c r="A202" i="5"/>
  <c r="E200" i="5"/>
  <c r="C199" i="5"/>
  <c r="A198" i="5"/>
  <c r="E196" i="5"/>
  <c r="C195" i="5"/>
  <c r="A194" i="5"/>
  <c r="E192" i="5"/>
  <c r="C191" i="5"/>
  <c r="A190" i="5"/>
  <c r="E188" i="5"/>
  <c r="C187" i="5"/>
  <c r="A186" i="5"/>
  <c r="E184" i="5"/>
  <c r="C183" i="5"/>
  <c r="A182" i="5"/>
  <c r="E180" i="5"/>
  <c r="C179" i="5"/>
  <c r="A178" i="5"/>
  <c r="E176" i="5"/>
  <c r="C175" i="5"/>
  <c r="A174" i="5"/>
  <c r="E172" i="5"/>
  <c r="C171" i="5"/>
  <c r="A170" i="5"/>
  <c r="E168" i="5"/>
  <c r="C167" i="5"/>
  <c r="A166" i="5"/>
  <c r="E164" i="5"/>
  <c r="C163" i="5"/>
  <c r="A162" i="5"/>
  <c r="E160" i="5"/>
  <c r="C159" i="5"/>
  <c r="F394" i="5"/>
  <c r="D343" i="5"/>
  <c r="D328" i="5"/>
  <c r="C322" i="5"/>
  <c r="C316" i="5"/>
  <c r="B310" i="5"/>
  <c r="F304" i="5"/>
  <c r="D299" i="5"/>
  <c r="B294" i="5"/>
  <c r="F288" i="5"/>
  <c r="D283" i="5"/>
  <c r="B278" i="5"/>
  <c r="F272" i="5"/>
  <c r="D267" i="5"/>
  <c r="E262" i="5"/>
  <c r="C259" i="5"/>
  <c r="E256" i="5"/>
  <c r="A254" i="5"/>
  <c r="E251" i="5"/>
  <c r="D249" i="5"/>
  <c r="D247" i="5"/>
  <c r="E245" i="5"/>
  <c r="A244" i="5"/>
  <c r="B242" i="5"/>
  <c r="C240" i="5"/>
  <c r="E238" i="5"/>
  <c r="A237" i="5"/>
  <c r="D235" i="5"/>
  <c r="A234" i="5"/>
  <c r="D232" i="5"/>
  <c r="B231" i="5"/>
  <c r="F229" i="5"/>
  <c r="D228" i="5"/>
  <c r="B227" i="5"/>
  <c r="F225" i="5"/>
  <c r="D224" i="5"/>
  <c r="B223" i="5"/>
  <c r="F221" i="5"/>
  <c r="D220" i="5"/>
  <c r="B219" i="5"/>
  <c r="F217" i="5"/>
  <c r="D216" i="5"/>
  <c r="B215" i="5"/>
  <c r="F213" i="5"/>
  <c r="D212" i="5"/>
  <c r="B211" i="5"/>
  <c r="F209" i="5"/>
  <c r="D208" i="5"/>
  <c r="B207" i="5"/>
  <c r="F205" i="5"/>
  <c r="D204" i="5"/>
  <c r="B203" i="5"/>
  <c r="F201" i="5"/>
  <c r="D200" i="5"/>
  <c r="B199" i="5"/>
  <c r="F197" i="5"/>
  <c r="D196" i="5"/>
  <c r="B195" i="5"/>
  <c r="F193" i="5"/>
  <c r="D192" i="5"/>
  <c r="B191" i="5"/>
  <c r="F189" i="5"/>
  <c r="D188" i="5"/>
  <c r="B187" i="5"/>
  <c r="F185" i="5"/>
  <c r="D184" i="5"/>
  <c r="B183" i="5"/>
  <c r="F181" i="5"/>
  <c r="D180" i="5"/>
  <c r="B179" i="5"/>
  <c r="F177" i="5"/>
  <c r="D176" i="5"/>
  <c r="B175" i="5"/>
  <c r="F173" i="5"/>
  <c r="D172" i="5"/>
  <c r="B171" i="5"/>
  <c r="F169" i="5"/>
  <c r="D168" i="5"/>
  <c r="B167" i="5"/>
  <c r="F165" i="5"/>
  <c r="D164" i="5"/>
  <c r="B384" i="5"/>
  <c r="D341" i="5"/>
  <c r="C328" i="5"/>
  <c r="B322" i="5"/>
  <c r="B316" i="5"/>
  <c r="A310" i="5"/>
  <c r="E304" i="5"/>
  <c r="C299" i="5"/>
  <c r="A294" i="5"/>
  <c r="E288" i="5"/>
  <c r="C283" i="5"/>
  <c r="A278" i="5"/>
  <c r="E272" i="5"/>
  <c r="C267" i="5"/>
  <c r="B262" i="5"/>
  <c r="E258" i="5"/>
  <c r="A256" i="5"/>
  <c r="D253" i="5"/>
  <c r="D251" i="5"/>
  <c r="C249" i="5"/>
  <c r="C247" i="5"/>
  <c r="D245" i="5"/>
  <c r="E243" i="5"/>
  <c r="A242" i="5"/>
  <c r="B240" i="5"/>
  <c r="C238" i="5"/>
  <c r="F236" i="5"/>
  <c r="C235" i="5"/>
  <c r="F233" i="5"/>
  <c r="C232" i="5"/>
  <c r="A231" i="5"/>
  <c r="E229" i="5"/>
  <c r="C228" i="5"/>
  <c r="A227" i="5"/>
  <c r="E225" i="5"/>
  <c r="C224" i="5"/>
  <c r="A223" i="5"/>
  <c r="E221" i="5"/>
  <c r="C220" i="5"/>
  <c r="A219" i="5"/>
  <c r="E217" i="5"/>
  <c r="C216" i="5"/>
  <c r="A215" i="5"/>
  <c r="E213" i="5"/>
  <c r="C212" i="5"/>
  <c r="A211" i="5"/>
  <c r="E209" i="5"/>
  <c r="C208" i="5"/>
  <c r="A207" i="5"/>
  <c r="E205" i="5"/>
  <c r="C204" i="5"/>
  <c r="A203" i="5"/>
  <c r="E201" i="5"/>
  <c r="C200" i="5"/>
  <c r="A199" i="5"/>
  <c r="E197" i="5"/>
  <c r="C196" i="5"/>
  <c r="A195" i="5"/>
  <c r="E193" i="5"/>
  <c r="C192" i="5"/>
  <c r="A191" i="5"/>
  <c r="E189" i="5"/>
  <c r="C188" i="5"/>
  <c r="A187" i="5"/>
  <c r="E185" i="5"/>
  <c r="C184" i="5"/>
  <c r="A183" i="5"/>
  <c r="E181" i="5"/>
  <c r="C180" i="5"/>
  <c r="A179" i="5"/>
  <c r="E177" i="5"/>
  <c r="C176" i="5"/>
  <c r="A175" i="5"/>
  <c r="E173" i="5"/>
  <c r="C172" i="5"/>
  <c r="A171" i="5"/>
  <c r="E169" i="5"/>
  <c r="C168" i="5"/>
  <c r="A167" i="5"/>
  <c r="D373" i="5"/>
  <c r="B339" i="5"/>
  <c r="A327" i="5"/>
  <c r="F320" i="5"/>
  <c r="F314" i="5"/>
  <c r="F308" i="5"/>
  <c r="D303" i="5"/>
  <c r="B298" i="5"/>
  <c r="F292" i="5"/>
  <c r="D287" i="5"/>
  <c r="B282" i="5"/>
  <c r="F276" i="5"/>
  <c r="D271" i="5"/>
  <c r="B266" i="5"/>
  <c r="A262" i="5"/>
  <c r="C258" i="5"/>
  <c r="E255" i="5"/>
  <c r="C253" i="5"/>
  <c r="C251" i="5"/>
  <c r="A249" i="5"/>
  <c r="A247" i="5"/>
  <c r="C245" i="5"/>
  <c r="D243" i="5"/>
  <c r="E241" i="5"/>
  <c r="A240" i="5"/>
  <c r="B238" i="5"/>
  <c r="E236" i="5"/>
  <c r="B235" i="5"/>
  <c r="E233" i="5"/>
  <c r="B232" i="5"/>
  <c r="F230" i="5"/>
  <c r="D229" i="5"/>
  <c r="B228" i="5"/>
  <c r="F226" i="5"/>
  <c r="D225" i="5"/>
  <c r="B224" i="5"/>
  <c r="F222" i="5"/>
  <c r="D221" i="5"/>
  <c r="B220" i="5"/>
  <c r="F218" i="5"/>
  <c r="D217" i="5"/>
  <c r="B216" i="5"/>
  <c r="F214" i="5"/>
  <c r="D213" i="5"/>
  <c r="B212" i="5"/>
  <c r="F210" i="5"/>
  <c r="D209" i="5"/>
  <c r="B208" i="5"/>
  <c r="F206" i="5"/>
  <c r="D205" i="5"/>
  <c r="B204" i="5"/>
  <c r="F202" i="5"/>
  <c r="D201" i="5"/>
  <c r="B200" i="5"/>
  <c r="F198" i="5"/>
  <c r="D197" i="5"/>
  <c r="B196" i="5"/>
  <c r="F194" i="5"/>
  <c r="D193" i="5"/>
  <c r="B192" i="5"/>
  <c r="F190" i="5"/>
  <c r="D189" i="5"/>
  <c r="B188" i="5"/>
  <c r="F186" i="5"/>
  <c r="D185" i="5"/>
  <c r="B184" i="5"/>
  <c r="F182" i="5"/>
  <c r="D181" i="5"/>
  <c r="B180" i="5"/>
  <c r="F178" i="5"/>
  <c r="D177" i="5"/>
  <c r="B176" i="5"/>
  <c r="F174" i="5"/>
  <c r="D173" i="5"/>
  <c r="B172" i="5"/>
  <c r="F170" i="5"/>
  <c r="D169" i="5"/>
  <c r="B168" i="5"/>
  <c r="F166" i="5"/>
  <c r="B364" i="5"/>
  <c r="A337" i="5"/>
  <c r="F326" i="5"/>
  <c r="E320" i="5"/>
  <c r="D314" i="5"/>
  <c r="E308" i="5"/>
  <c r="C303" i="5"/>
  <c r="A298" i="5"/>
  <c r="E292" i="5"/>
  <c r="C287" i="5"/>
  <c r="A282" i="5"/>
  <c r="E276" i="5"/>
  <c r="C271" i="5"/>
  <c r="A266" i="5"/>
  <c r="C261" i="5"/>
  <c r="B258" i="5"/>
  <c r="D255" i="5"/>
  <c r="A253" i="5"/>
  <c r="F250" i="5"/>
  <c r="F248" i="5"/>
  <c r="F246" i="5"/>
  <c r="A245" i="5"/>
  <c r="C243" i="5"/>
  <c r="D241" i="5"/>
  <c r="E239" i="5"/>
  <c r="A238" i="5"/>
  <c r="D236" i="5"/>
  <c r="A235" i="5"/>
  <c r="D233" i="5"/>
  <c r="A232" i="5"/>
  <c r="E230" i="5"/>
  <c r="C229" i="5"/>
  <c r="A228" i="5"/>
  <c r="E226" i="5"/>
  <c r="C225" i="5"/>
  <c r="A224" i="5"/>
  <c r="E222" i="5"/>
  <c r="C221" i="5"/>
  <c r="A220" i="5"/>
  <c r="E218" i="5"/>
  <c r="C217" i="5"/>
  <c r="A216" i="5"/>
  <c r="E214" i="5"/>
  <c r="C213" i="5"/>
  <c r="A212" i="5"/>
  <c r="E210" i="5"/>
  <c r="C209" i="5"/>
  <c r="A208" i="5"/>
  <c r="E206" i="5"/>
  <c r="C205" i="5"/>
  <c r="A204" i="5"/>
  <c r="E202" i="5"/>
  <c r="C201" i="5"/>
  <c r="A200" i="5"/>
  <c r="E198" i="5"/>
  <c r="C197" i="5"/>
  <c r="A196" i="5"/>
  <c r="E194" i="5"/>
  <c r="C193" i="5"/>
  <c r="A192" i="5"/>
  <c r="E190" i="5"/>
  <c r="C189" i="5"/>
  <c r="A188" i="5"/>
  <c r="E186" i="5"/>
  <c r="C185" i="5"/>
  <c r="A184" i="5"/>
  <c r="E182" i="5"/>
  <c r="C181" i="5"/>
  <c r="A180" i="5"/>
  <c r="E178" i="5"/>
  <c r="C177" i="5"/>
  <c r="A176" i="5"/>
  <c r="E174" i="5"/>
  <c r="C173" i="5"/>
  <c r="A172" i="5"/>
  <c r="E170" i="5"/>
  <c r="C169" i="5"/>
  <c r="A168" i="5"/>
  <c r="E166" i="5"/>
  <c r="C165" i="5"/>
  <c r="F296" i="5"/>
  <c r="A258" i="5"/>
  <c r="C241" i="5"/>
  <c r="B229" i="5"/>
  <c r="D218" i="5"/>
  <c r="F207" i="5"/>
  <c r="B197" i="5"/>
  <c r="D186" i="5"/>
  <c r="F175" i="5"/>
  <c r="E165" i="5"/>
  <c r="A163" i="5"/>
  <c r="B161" i="5"/>
  <c r="F158" i="5"/>
  <c r="B157" i="5"/>
  <c r="B155" i="5"/>
  <c r="D153" i="5"/>
  <c r="F151" i="5"/>
  <c r="C150" i="5"/>
  <c r="E148" i="5"/>
  <c r="B147" i="5"/>
  <c r="E145" i="5"/>
  <c r="B144" i="5"/>
  <c r="E142" i="5"/>
  <c r="B141" i="5"/>
  <c r="E139" i="5"/>
  <c r="A138" i="5"/>
  <c r="D136" i="5"/>
  <c r="A135" i="5"/>
  <c r="D133" i="5"/>
  <c r="B132" i="5"/>
  <c r="F130" i="5"/>
  <c r="D129" i="5"/>
  <c r="B128" i="5"/>
  <c r="F126" i="5"/>
  <c r="D125" i="5"/>
  <c r="B124" i="5"/>
  <c r="F122" i="5"/>
  <c r="D121" i="5"/>
  <c r="B120" i="5"/>
  <c r="F118" i="5"/>
  <c r="D117" i="5"/>
  <c r="B116" i="5"/>
  <c r="F114" i="5"/>
  <c r="D113" i="5"/>
  <c r="B112" i="5"/>
  <c r="F110" i="5"/>
  <c r="D109" i="5"/>
  <c r="B108" i="5"/>
  <c r="F106" i="5"/>
  <c r="D105" i="5"/>
  <c r="B104" i="5"/>
  <c r="F102" i="5"/>
  <c r="D101" i="5"/>
  <c r="B100" i="5"/>
  <c r="F98" i="5"/>
  <c r="D97" i="5"/>
  <c r="B96" i="5"/>
  <c r="F94" i="5"/>
  <c r="D93" i="5"/>
  <c r="B92" i="5"/>
  <c r="F90" i="5"/>
  <c r="D89" i="5"/>
  <c r="B88" i="5"/>
  <c r="F86" i="5"/>
  <c r="D85" i="5"/>
  <c r="B84" i="5"/>
  <c r="F82" i="5"/>
  <c r="D81" i="5"/>
  <c r="B80" i="5"/>
  <c r="F78" i="5"/>
  <c r="D77" i="5"/>
  <c r="B76" i="5"/>
  <c r="F74" i="5"/>
  <c r="D73" i="5"/>
  <c r="B72" i="5"/>
  <c r="F70" i="5"/>
  <c r="D69" i="5"/>
  <c r="B68" i="5"/>
  <c r="F66" i="5"/>
  <c r="D65" i="5"/>
  <c r="B64" i="5"/>
  <c r="F62" i="5"/>
  <c r="D61" i="5"/>
  <c r="B60" i="5"/>
  <c r="F58" i="5"/>
  <c r="D57" i="5"/>
  <c r="B56" i="5"/>
  <c r="F54" i="5"/>
  <c r="D53" i="5"/>
  <c r="B52" i="5"/>
  <c r="F50" i="5"/>
  <c r="D49" i="5"/>
  <c r="F358" i="5"/>
  <c r="D291" i="5"/>
  <c r="C255" i="5"/>
  <c r="D239" i="5"/>
  <c r="F227" i="5"/>
  <c r="B217" i="5"/>
  <c r="D206" i="5"/>
  <c r="F195" i="5"/>
  <c r="B185" i="5"/>
  <c r="D174" i="5"/>
  <c r="D165" i="5"/>
  <c r="F162" i="5"/>
  <c r="D160" i="5"/>
  <c r="E158" i="5"/>
  <c r="E156" i="5"/>
  <c r="A155" i="5"/>
  <c r="C153" i="5"/>
  <c r="E151" i="5"/>
  <c r="A150" i="5"/>
  <c r="D148" i="5"/>
  <c r="A147" i="5"/>
  <c r="D145" i="5"/>
  <c r="A144" i="5"/>
  <c r="D142" i="5"/>
  <c r="A141" i="5"/>
  <c r="C139" i="5"/>
  <c r="F137" i="5"/>
  <c r="C136" i="5"/>
  <c r="F134" i="5"/>
  <c r="C133" i="5"/>
  <c r="A132" i="5"/>
  <c r="E130" i="5"/>
  <c r="C129" i="5"/>
  <c r="A128" i="5"/>
  <c r="E126" i="5"/>
  <c r="C125" i="5"/>
  <c r="A124" i="5"/>
  <c r="E122" i="5"/>
  <c r="C121" i="5"/>
  <c r="A120" i="5"/>
  <c r="E118" i="5"/>
  <c r="C117" i="5"/>
  <c r="A116" i="5"/>
  <c r="E114" i="5"/>
  <c r="C113" i="5"/>
  <c r="A112" i="5"/>
  <c r="E110" i="5"/>
  <c r="C109" i="5"/>
  <c r="A108" i="5"/>
  <c r="E106" i="5"/>
  <c r="C105" i="5"/>
  <c r="A104" i="5"/>
  <c r="E102" i="5"/>
  <c r="C101" i="5"/>
  <c r="A100" i="5"/>
  <c r="E98" i="5"/>
  <c r="C97" i="5"/>
  <c r="A96" i="5"/>
  <c r="E94" i="5"/>
  <c r="C93" i="5"/>
  <c r="A92" i="5"/>
  <c r="E90" i="5"/>
  <c r="C89" i="5"/>
  <c r="A88" i="5"/>
  <c r="E86" i="5"/>
  <c r="C85" i="5"/>
  <c r="A84" i="5"/>
  <c r="E82" i="5"/>
  <c r="C81" i="5"/>
  <c r="A80" i="5"/>
  <c r="E78" i="5"/>
  <c r="C77" i="5"/>
  <c r="A76" i="5"/>
  <c r="E74" i="5"/>
  <c r="C73" i="5"/>
  <c r="A72" i="5"/>
  <c r="E70" i="5"/>
  <c r="C69" i="5"/>
  <c r="A68" i="5"/>
  <c r="E66" i="5"/>
  <c r="C65" i="5"/>
  <c r="A64" i="5"/>
  <c r="E62" i="5"/>
  <c r="C61" i="5"/>
  <c r="A60" i="5"/>
  <c r="E58" i="5"/>
  <c r="C57" i="5"/>
  <c r="A56" i="5"/>
  <c r="E54" i="5"/>
  <c r="A335" i="5"/>
  <c r="B286" i="5"/>
  <c r="F252" i="5"/>
  <c r="F237" i="5"/>
  <c r="D226" i="5"/>
  <c r="F215" i="5"/>
  <c r="B205" i="5"/>
  <c r="D194" i="5"/>
  <c r="F183" i="5"/>
  <c r="B173" i="5"/>
  <c r="B165" i="5"/>
  <c r="E162" i="5"/>
  <c r="C160" i="5"/>
  <c r="D158" i="5"/>
  <c r="D156" i="5"/>
  <c r="F154" i="5"/>
  <c r="B153" i="5"/>
  <c r="C151" i="5"/>
  <c r="F149" i="5"/>
  <c r="C148" i="5"/>
  <c r="F146" i="5"/>
  <c r="C145" i="5"/>
  <c r="F143" i="5"/>
  <c r="C142" i="5"/>
  <c r="E140" i="5"/>
  <c r="B139" i="5"/>
  <c r="E137" i="5"/>
  <c r="B136" i="5"/>
  <c r="E134" i="5"/>
  <c r="B133" i="5"/>
  <c r="F131" i="5"/>
  <c r="D130" i="5"/>
  <c r="B129" i="5"/>
  <c r="F127" i="5"/>
  <c r="D126" i="5"/>
  <c r="B125" i="5"/>
  <c r="F123" i="5"/>
  <c r="D122" i="5"/>
  <c r="B121" i="5"/>
  <c r="F119" i="5"/>
  <c r="D118" i="5"/>
  <c r="B117" i="5"/>
  <c r="F115" i="5"/>
  <c r="D114" i="5"/>
  <c r="B113" i="5"/>
  <c r="F111" i="5"/>
  <c r="D110" i="5"/>
  <c r="B109" i="5"/>
  <c r="F107" i="5"/>
  <c r="D106" i="5"/>
  <c r="B105" i="5"/>
  <c r="F103" i="5"/>
  <c r="D102" i="5"/>
  <c r="B101" i="5"/>
  <c r="F99" i="5"/>
  <c r="D98" i="5"/>
  <c r="B97" i="5"/>
  <c r="F95" i="5"/>
  <c r="D94" i="5"/>
  <c r="B93" i="5"/>
  <c r="F91" i="5"/>
  <c r="D90" i="5"/>
  <c r="B89" i="5"/>
  <c r="F87" i="5"/>
  <c r="D86" i="5"/>
  <c r="B85" i="5"/>
  <c r="F83" i="5"/>
  <c r="D82" i="5"/>
  <c r="B81" i="5"/>
  <c r="F79" i="5"/>
  <c r="D78" i="5"/>
  <c r="B77" i="5"/>
  <c r="F75" i="5"/>
  <c r="D74" i="5"/>
  <c r="B73" i="5"/>
  <c r="F71" i="5"/>
  <c r="D70" i="5"/>
  <c r="B69" i="5"/>
  <c r="F67" i="5"/>
  <c r="D66" i="5"/>
  <c r="B65" i="5"/>
  <c r="F63" i="5"/>
  <c r="D62" i="5"/>
  <c r="B61" i="5"/>
  <c r="F59" i="5"/>
  <c r="D58" i="5"/>
  <c r="B57" i="5"/>
  <c r="F55" i="5"/>
  <c r="D54" i="5"/>
  <c r="D325" i="5"/>
  <c r="F280" i="5"/>
  <c r="E250" i="5"/>
  <c r="C236" i="5"/>
  <c r="B225" i="5"/>
  <c r="D214" i="5"/>
  <c r="F203" i="5"/>
  <c r="B193" i="5"/>
  <c r="D182" i="5"/>
  <c r="F171" i="5"/>
  <c r="C164" i="5"/>
  <c r="D162" i="5"/>
  <c r="B160" i="5"/>
  <c r="A158" i="5"/>
  <c r="C156" i="5"/>
  <c r="E154" i="5"/>
  <c r="E152" i="5"/>
  <c r="B151" i="5"/>
  <c r="E149" i="5"/>
  <c r="B148" i="5"/>
  <c r="E146" i="5"/>
  <c r="B145" i="5"/>
  <c r="E143" i="5"/>
  <c r="A142" i="5"/>
  <c r="D140" i="5"/>
  <c r="A139" i="5"/>
  <c r="D137" i="5"/>
  <c r="A136" i="5"/>
  <c r="D134" i="5"/>
  <c r="A133" i="5"/>
  <c r="E131" i="5"/>
  <c r="C130" i="5"/>
  <c r="A129" i="5"/>
  <c r="E127" i="5"/>
  <c r="C126" i="5"/>
  <c r="A125" i="5"/>
  <c r="E123" i="5"/>
  <c r="C122" i="5"/>
  <c r="A121" i="5"/>
  <c r="E119" i="5"/>
  <c r="C118" i="5"/>
  <c r="A117" i="5"/>
  <c r="E115" i="5"/>
  <c r="C114" i="5"/>
  <c r="A113" i="5"/>
  <c r="E111" i="5"/>
  <c r="C110" i="5"/>
  <c r="A109" i="5"/>
  <c r="E107" i="5"/>
  <c r="C106" i="5"/>
  <c r="A105" i="5"/>
  <c r="E103" i="5"/>
  <c r="C102" i="5"/>
  <c r="A101" i="5"/>
  <c r="E99" i="5"/>
  <c r="C98" i="5"/>
  <c r="A97" i="5"/>
  <c r="E95" i="5"/>
  <c r="C94" i="5"/>
  <c r="A93" i="5"/>
  <c r="E91" i="5"/>
  <c r="C90" i="5"/>
  <c r="A89" i="5"/>
  <c r="E87" i="5"/>
  <c r="C86" i="5"/>
  <c r="A85" i="5"/>
  <c r="E83" i="5"/>
  <c r="C82" i="5"/>
  <c r="A81" i="5"/>
  <c r="E79" i="5"/>
  <c r="C78" i="5"/>
  <c r="A77" i="5"/>
  <c r="E75" i="5"/>
  <c r="C74" i="5"/>
  <c r="A73" i="5"/>
  <c r="E71" i="5"/>
  <c r="C70" i="5"/>
  <c r="A69" i="5"/>
  <c r="E67" i="5"/>
  <c r="C66" i="5"/>
  <c r="A65" i="5"/>
  <c r="E63" i="5"/>
  <c r="C62" i="5"/>
  <c r="A61" i="5"/>
  <c r="E59" i="5"/>
  <c r="C319" i="5"/>
  <c r="D275" i="5"/>
  <c r="E248" i="5"/>
  <c r="F234" i="5"/>
  <c r="F223" i="5"/>
  <c r="B213" i="5"/>
  <c r="D202" i="5"/>
  <c r="F191" i="5"/>
  <c r="B181" i="5"/>
  <c r="D170" i="5"/>
  <c r="B164" i="5"/>
  <c r="F161" i="5"/>
  <c r="A160" i="5"/>
  <c r="F157" i="5"/>
  <c r="B156" i="5"/>
  <c r="D154" i="5"/>
  <c r="D152" i="5"/>
  <c r="A151" i="5"/>
  <c r="D149" i="5"/>
  <c r="A148" i="5"/>
  <c r="D146" i="5"/>
  <c r="A145" i="5"/>
  <c r="C143" i="5"/>
  <c r="F141" i="5"/>
  <c r="C140" i="5"/>
  <c r="F138" i="5"/>
  <c r="C137" i="5"/>
  <c r="F135" i="5"/>
  <c r="C134" i="5"/>
  <c r="F132" i="5"/>
  <c r="D131" i="5"/>
  <c r="B130" i="5"/>
  <c r="F128" i="5"/>
  <c r="D127" i="5"/>
  <c r="B126" i="5"/>
  <c r="F124" i="5"/>
  <c r="D123" i="5"/>
  <c r="B122" i="5"/>
  <c r="F120" i="5"/>
  <c r="D119" i="5"/>
  <c r="B118" i="5"/>
  <c r="F116" i="5"/>
  <c r="D115" i="5"/>
  <c r="B114" i="5"/>
  <c r="F112" i="5"/>
  <c r="D111" i="5"/>
  <c r="B110" i="5"/>
  <c r="F108" i="5"/>
  <c r="D107" i="5"/>
  <c r="B106" i="5"/>
  <c r="F104" i="5"/>
  <c r="D103" i="5"/>
  <c r="B102" i="5"/>
  <c r="F100" i="5"/>
  <c r="D99" i="5"/>
  <c r="B98" i="5"/>
  <c r="F96" i="5"/>
  <c r="D95" i="5"/>
  <c r="B94" i="5"/>
  <c r="F92" i="5"/>
  <c r="D91" i="5"/>
  <c r="B90" i="5"/>
  <c r="F88" i="5"/>
  <c r="D87" i="5"/>
  <c r="B86" i="5"/>
  <c r="F84" i="5"/>
  <c r="D83" i="5"/>
  <c r="B82" i="5"/>
  <c r="F80" i="5"/>
  <c r="D79" i="5"/>
  <c r="B78" i="5"/>
  <c r="F76" i="5"/>
  <c r="D75" i="5"/>
  <c r="B74" i="5"/>
  <c r="F72" i="5"/>
  <c r="D71" i="5"/>
  <c r="B70" i="5"/>
  <c r="F68" i="5"/>
  <c r="D67" i="5"/>
  <c r="B66" i="5"/>
  <c r="F64" i="5"/>
  <c r="D63" i="5"/>
  <c r="B62" i="5"/>
  <c r="F60" i="5"/>
  <c r="D59" i="5"/>
  <c r="B313" i="5"/>
  <c r="B270" i="5"/>
  <c r="E246" i="5"/>
  <c r="C233" i="5"/>
  <c r="D222" i="5"/>
  <c r="F211" i="5"/>
  <c r="B201" i="5"/>
  <c r="D190" i="5"/>
  <c r="F179" i="5"/>
  <c r="B169" i="5"/>
  <c r="A164" i="5"/>
  <c r="E161" i="5"/>
  <c r="F159" i="5"/>
  <c r="E157" i="5"/>
  <c r="A156" i="5"/>
  <c r="A154" i="5"/>
  <c r="C152" i="5"/>
  <c r="F150" i="5"/>
  <c r="C149" i="5"/>
  <c r="F147" i="5"/>
  <c r="C146" i="5"/>
  <c r="E144" i="5"/>
  <c r="B143" i="5"/>
  <c r="E141" i="5"/>
  <c r="B140" i="5"/>
  <c r="E138" i="5"/>
  <c r="B137" i="5"/>
  <c r="E135" i="5"/>
  <c r="A134" i="5"/>
  <c r="E132" i="5"/>
  <c r="C131" i="5"/>
  <c r="A130" i="5"/>
  <c r="E128" i="5"/>
  <c r="C127" i="5"/>
  <c r="A126" i="5"/>
  <c r="E124" i="5"/>
  <c r="C123" i="5"/>
  <c r="A122" i="5"/>
  <c r="E120" i="5"/>
  <c r="C119" i="5"/>
  <c r="A118" i="5"/>
  <c r="E116" i="5"/>
  <c r="C115" i="5"/>
  <c r="A114" i="5"/>
  <c r="E112" i="5"/>
  <c r="C111" i="5"/>
  <c r="A110" i="5"/>
  <c r="E108" i="5"/>
  <c r="C107" i="5"/>
  <c r="A106" i="5"/>
  <c r="E104" i="5"/>
  <c r="C103" i="5"/>
  <c r="A102" i="5"/>
  <c r="E100" i="5"/>
  <c r="C99" i="5"/>
  <c r="A98" i="5"/>
  <c r="E96" i="5"/>
  <c r="C95" i="5"/>
  <c r="A94" i="5"/>
  <c r="E92" i="5"/>
  <c r="C91" i="5"/>
  <c r="A90" i="5"/>
  <c r="E88" i="5"/>
  <c r="C87" i="5"/>
  <c r="A86" i="5"/>
  <c r="E84" i="5"/>
  <c r="C83" i="5"/>
  <c r="A82" i="5"/>
  <c r="E80" i="5"/>
  <c r="C79" i="5"/>
  <c r="A78" i="5"/>
  <c r="E76" i="5"/>
  <c r="C75" i="5"/>
  <c r="A74" i="5"/>
  <c r="E72" i="5"/>
  <c r="C71" i="5"/>
  <c r="A70" i="5"/>
  <c r="E68" i="5"/>
  <c r="C67" i="5"/>
  <c r="A66" i="5"/>
  <c r="E64" i="5"/>
  <c r="C63" i="5"/>
  <c r="A62" i="5"/>
  <c r="E60" i="5"/>
  <c r="C59" i="5"/>
  <c r="A58" i="5"/>
  <c r="E56" i="5"/>
  <c r="C55" i="5"/>
  <c r="A54" i="5"/>
  <c r="E52" i="5"/>
  <c r="C51" i="5"/>
  <c r="A50" i="5"/>
  <c r="E48" i="5"/>
  <c r="C47" i="5"/>
  <c r="A46" i="5"/>
  <c r="E44" i="5"/>
  <c r="C43" i="5"/>
  <c r="A42" i="5"/>
  <c r="E40" i="5"/>
  <c r="C39" i="5"/>
  <c r="A38" i="5"/>
  <c r="E36" i="5"/>
  <c r="D307" i="5"/>
  <c r="F264" i="5"/>
  <c r="F244" i="5"/>
  <c r="F231" i="5"/>
  <c r="B221" i="5"/>
  <c r="D210" i="5"/>
  <c r="F199" i="5"/>
  <c r="B189" i="5"/>
  <c r="D178" i="5"/>
  <c r="F167" i="5"/>
  <c r="F163" i="5"/>
  <c r="D161" i="5"/>
  <c r="B159" i="5"/>
  <c r="D157" i="5"/>
  <c r="F155" i="5"/>
  <c r="F153" i="5"/>
  <c r="B152" i="5"/>
  <c r="E150" i="5"/>
  <c r="B149" i="5"/>
  <c r="E147" i="5"/>
  <c r="A146" i="5"/>
  <c r="D144" i="5"/>
  <c r="A143" i="5"/>
  <c r="D141" i="5"/>
  <c r="A140" i="5"/>
  <c r="D138" i="5"/>
  <c r="A137" i="5"/>
  <c r="C135" i="5"/>
  <c r="F133" i="5"/>
  <c r="D132" i="5"/>
  <c r="B131" i="5"/>
  <c r="F129" i="5"/>
  <c r="D128" i="5"/>
  <c r="B127" i="5"/>
  <c r="F125" i="5"/>
  <c r="D124" i="5"/>
  <c r="B123" i="5"/>
  <c r="F121" i="5"/>
  <c r="D120" i="5"/>
  <c r="B119" i="5"/>
  <c r="F117" i="5"/>
  <c r="D116" i="5"/>
  <c r="B115" i="5"/>
  <c r="F113" i="5"/>
  <c r="D112" i="5"/>
  <c r="B111" i="5"/>
  <c r="F109" i="5"/>
  <c r="D108" i="5"/>
  <c r="B107" i="5"/>
  <c r="F105" i="5"/>
  <c r="D104" i="5"/>
  <c r="B103" i="5"/>
  <c r="F101" i="5"/>
  <c r="D100" i="5"/>
  <c r="B99" i="5"/>
  <c r="F97" i="5"/>
  <c r="D96" i="5"/>
  <c r="B95" i="5"/>
  <c r="F93" i="5"/>
  <c r="D92" i="5"/>
  <c r="B91" i="5"/>
  <c r="F89" i="5"/>
  <c r="D88" i="5"/>
  <c r="B87" i="5"/>
  <c r="F85" i="5"/>
  <c r="D84" i="5"/>
  <c r="B83" i="5"/>
  <c r="F81" i="5"/>
  <c r="D80" i="5"/>
  <c r="B79" i="5"/>
  <c r="F77" i="5"/>
  <c r="D76" i="5"/>
  <c r="B75" i="5"/>
  <c r="F73" i="5"/>
  <c r="D72" i="5"/>
  <c r="B71" i="5"/>
  <c r="F69" i="5"/>
  <c r="D68" i="5"/>
  <c r="B67" i="5"/>
  <c r="F65" i="5"/>
  <c r="D64" i="5"/>
  <c r="B63" i="5"/>
  <c r="F61" i="5"/>
  <c r="D60" i="5"/>
  <c r="B59" i="5"/>
  <c r="F187" i="5"/>
  <c r="E153" i="5"/>
  <c r="C141" i="5"/>
  <c r="E129" i="5"/>
  <c r="A119" i="5"/>
  <c r="C108" i="5"/>
  <c r="E97" i="5"/>
  <c r="A87" i="5"/>
  <c r="C76" i="5"/>
  <c r="E65" i="5"/>
  <c r="F57" i="5"/>
  <c r="B55" i="5"/>
  <c r="A53" i="5"/>
  <c r="B51" i="5"/>
  <c r="C49" i="5"/>
  <c r="F47" i="5"/>
  <c r="C46" i="5"/>
  <c r="F44" i="5"/>
  <c r="B43" i="5"/>
  <c r="E41" i="5"/>
  <c r="B40" i="5"/>
  <c r="E38" i="5"/>
  <c r="B37" i="5"/>
  <c r="E35" i="5"/>
  <c r="C34" i="5"/>
  <c r="A33" i="5"/>
  <c r="E31" i="5"/>
  <c r="C30" i="5"/>
  <c r="A29" i="5"/>
  <c r="E27" i="5"/>
  <c r="C26" i="5"/>
  <c r="A25" i="5"/>
  <c r="E23" i="5"/>
  <c r="C22" i="5"/>
  <c r="A21" i="5"/>
  <c r="E19" i="5"/>
  <c r="C18" i="5"/>
  <c r="A17" i="5"/>
  <c r="E15" i="5"/>
  <c r="C14" i="5"/>
  <c r="A13" i="5"/>
  <c r="E11" i="5"/>
  <c r="C10" i="5"/>
  <c r="A9" i="5"/>
  <c r="E7" i="5"/>
  <c r="C6" i="5"/>
  <c r="A5" i="5"/>
  <c r="B302" i="5"/>
  <c r="B177" i="5"/>
  <c r="A152" i="5"/>
  <c r="F139" i="5"/>
  <c r="C128" i="5"/>
  <c r="E117" i="5"/>
  <c r="A107" i="5"/>
  <c r="C96" i="5"/>
  <c r="E85" i="5"/>
  <c r="A75" i="5"/>
  <c r="C64" i="5"/>
  <c r="E57" i="5"/>
  <c r="A55" i="5"/>
  <c r="F52" i="5"/>
  <c r="A51" i="5"/>
  <c r="B49" i="5"/>
  <c r="E47" i="5"/>
  <c r="B46" i="5"/>
  <c r="D44" i="5"/>
  <c r="A43" i="5"/>
  <c r="D41" i="5"/>
  <c r="A40" i="5"/>
  <c r="D38" i="5"/>
  <c r="A37" i="5"/>
  <c r="D35" i="5"/>
  <c r="B34" i="5"/>
  <c r="F32" i="5"/>
  <c r="D31" i="5"/>
  <c r="B30" i="5"/>
  <c r="F28" i="5"/>
  <c r="D27" i="5"/>
  <c r="B26" i="5"/>
  <c r="F24" i="5"/>
  <c r="D23" i="5"/>
  <c r="B22" i="5"/>
  <c r="F20" i="5"/>
  <c r="D19" i="5"/>
  <c r="B18" i="5"/>
  <c r="F16" i="5"/>
  <c r="D15" i="5"/>
  <c r="B14" i="5"/>
  <c r="F12" i="5"/>
  <c r="D11" i="5"/>
  <c r="B10" i="5"/>
  <c r="F8" i="5"/>
  <c r="D7" i="5"/>
  <c r="B6" i="5"/>
  <c r="F4" i="5"/>
  <c r="F260" i="5"/>
  <c r="D166" i="5"/>
  <c r="D150" i="5"/>
  <c r="C138" i="5"/>
  <c r="A127" i="5"/>
  <c r="C116" i="5"/>
  <c r="E105" i="5"/>
  <c r="A95" i="5"/>
  <c r="C84" i="5"/>
  <c r="E73" i="5"/>
  <c r="A63" i="5"/>
  <c r="A57" i="5"/>
  <c r="C54" i="5"/>
  <c r="D52" i="5"/>
  <c r="E50" i="5"/>
  <c r="A49" i="5"/>
  <c r="D47" i="5"/>
  <c r="F45" i="5"/>
  <c r="C44" i="5"/>
  <c r="F42" i="5"/>
  <c r="C41" i="5"/>
  <c r="F39" i="5"/>
  <c r="C38" i="5"/>
  <c r="F36" i="5"/>
  <c r="C35" i="5"/>
  <c r="A34" i="5"/>
  <c r="E32" i="5"/>
  <c r="C31" i="5"/>
  <c r="A30" i="5"/>
  <c r="E28" i="5"/>
  <c r="C27" i="5"/>
  <c r="A26" i="5"/>
  <c r="E24" i="5"/>
  <c r="C23" i="5"/>
  <c r="A22" i="5"/>
  <c r="E20" i="5"/>
  <c r="C19" i="5"/>
  <c r="A18" i="5"/>
  <c r="E16" i="5"/>
  <c r="C15" i="5"/>
  <c r="A14" i="5"/>
  <c r="E12" i="5"/>
  <c r="C11" i="5"/>
  <c r="A10" i="5"/>
  <c r="E8" i="5"/>
  <c r="C7" i="5"/>
  <c r="A6" i="5"/>
  <c r="E4" i="5"/>
  <c r="A243" i="5"/>
  <c r="B163" i="5"/>
  <c r="A149" i="5"/>
  <c r="E136" i="5"/>
  <c r="E125" i="5"/>
  <c r="A115" i="5"/>
  <c r="C104" i="5"/>
  <c r="E93" i="5"/>
  <c r="A83" i="5"/>
  <c r="C72" i="5"/>
  <c r="E61" i="5"/>
  <c r="F56" i="5"/>
  <c r="B54" i="5"/>
  <c r="C52" i="5"/>
  <c r="D50" i="5"/>
  <c r="F48" i="5"/>
  <c r="B47" i="5"/>
  <c r="E45" i="5"/>
  <c r="B44" i="5"/>
  <c r="E42" i="5"/>
  <c r="B41" i="5"/>
  <c r="E39" i="5"/>
  <c r="B38" i="5"/>
  <c r="D36" i="5"/>
  <c r="B35" i="5"/>
  <c r="F33" i="5"/>
  <c r="D32" i="5"/>
  <c r="B31" i="5"/>
  <c r="F29" i="5"/>
  <c r="D28" i="5"/>
  <c r="B27" i="5"/>
  <c r="F25" i="5"/>
  <c r="D24" i="5"/>
  <c r="B23" i="5"/>
  <c r="F21" i="5"/>
  <c r="D20" i="5"/>
  <c r="B19" i="5"/>
  <c r="F17" i="5"/>
  <c r="D16" i="5"/>
  <c r="B15" i="5"/>
  <c r="F13" i="5"/>
  <c r="D12" i="5"/>
  <c r="B11" i="5"/>
  <c r="F9" i="5"/>
  <c r="D8" i="5"/>
  <c r="B7" i="5"/>
  <c r="F5" i="5"/>
  <c r="D4" i="5"/>
  <c r="D230" i="5"/>
  <c r="C161" i="5"/>
  <c r="C147" i="5"/>
  <c r="B135" i="5"/>
  <c r="C124" i="5"/>
  <c r="E113" i="5"/>
  <c r="A103" i="5"/>
  <c r="C92" i="5"/>
  <c r="E81" i="5"/>
  <c r="A71" i="5"/>
  <c r="C60" i="5"/>
  <c r="D56" i="5"/>
  <c r="F53" i="5"/>
  <c r="A52" i="5"/>
  <c r="C50" i="5"/>
  <c r="D48" i="5"/>
  <c r="A47" i="5"/>
  <c r="D45" i="5"/>
  <c r="A44" i="5"/>
  <c r="D42" i="5"/>
  <c r="A41" i="5"/>
  <c r="D39" i="5"/>
  <c r="F37" i="5"/>
  <c r="C36" i="5"/>
  <c r="A35" i="5"/>
  <c r="E33" i="5"/>
  <c r="C32" i="5"/>
  <c r="A31" i="5"/>
  <c r="E29" i="5"/>
  <c r="C28" i="5"/>
  <c r="A27" i="5"/>
  <c r="E25" i="5"/>
  <c r="C24" i="5"/>
  <c r="A23" i="5"/>
  <c r="E21" i="5"/>
  <c r="C20" i="5"/>
  <c r="A19" i="5"/>
  <c r="E17" i="5"/>
  <c r="C16" i="5"/>
  <c r="A15" i="5"/>
  <c r="E13" i="5"/>
  <c r="C12" i="5"/>
  <c r="A11" i="5"/>
  <c r="E9" i="5"/>
  <c r="C8" i="5"/>
  <c r="A7" i="5"/>
  <c r="E5" i="5"/>
  <c r="C4" i="5"/>
  <c r="F219" i="5"/>
  <c r="A159" i="5"/>
  <c r="F145" i="5"/>
  <c r="E133" i="5"/>
  <c r="A123" i="5"/>
  <c r="C112" i="5"/>
  <c r="E101" i="5"/>
  <c r="A91" i="5"/>
  <c r="C80" i="5"/>
  <c r="E69" i="5"/>
  <c r="A59" i="5"/>
  <c r="C56" i="5"/>
  <c r="E53" i="5"/>
  <c r="F51" i="5"/>
  <c r="B50" i="5"/>
  <c r="C48" i="5"/>
  <c r="F46" i="5"/>
  <c r="C45" i="5"/>
  <c r="F43" i="5"/>
  <c r="C42" i="5"/>
  <c r="F40" i="5"/>
  <c r="B39" i="5"/>
  <c r="E37" i="5"/>
  <c r="B36" i="5"/>
  <c r="F34" i="5"/>
  <c r="D33" i="5"/>
  <c r="B32" i="5"/>
  <c r="F30" i="5"/>
  <c r="D29" i="5"/>
  <c r="B28" i="5"/>
  <c r="F26" i="5"/>
  <c r="D25" i="5"/>
  <c r="B24" i="5"/>
  <c r="F22" i="5"/>
  <c r="D21" i="5"/>
  <c r="B20" i="5"/>
  <c r="F18" i="5"/>
  <c r="D17" i="5"/>
  <c r="B16" i="5"/>
  <c r="F14" i="5"/>
  <c r="D13" i="5"/>
  <c r="B12" i="5"/>
  <c r="F10" i="5"/>
  <c r="D9" i="5"/>
  <c r="B8" i="5"/>
  <c r="F6" i="5"/>
  <c r="D5" i="5"/>
  <c r="B4" i="5"/>
  <c r="B209" i="5"/>
  <c r="C157" i="5"/>
  <c r="C144" i="5"/>
  <c r="C132" i="5"/>
  <c r="E121" i="5"/>
  <c r="A111" i="5"/>
  <c r="C100" i="5"/>
  <c r="E89" i="5"/>
  <c r="A79" i="5"/>
  <c r="C68" i="5"/>
  <c r="C58" i="5"/>
  <c r="E55" i="5"/>
  <c r="C53" i="5"/>
  <c r="E51" i="5"/>
  <c r="F49" i="5"/>
  <c r="B48" i="5"/>
  <c r="E46" i="5"/>
  <c r="B45" i="5"/>
  <c r="E43" i="5"/>
  <c r="B42" i="5"/>
  <c r="D40" i="5"/>
  <c r="A39" i="5"/>
  <c r="D37" i="5"/>
  <c r="A36" i="5"/>
  <c r="E34" i="5"/>
  <c r="C33" i="5"/>
  <c r="A32" i="5"/>
  <c r="E30" i="5"/>
  <c r="C29" i="5"/>
  <c r="A28" i="5"/>
  <c r="E26" i="5"/>
  <c r="C25" i="5"/>
  <c r="A24" i="5"/>
  <c r="E22" i="5"/>
  <c r="C21" i="5"/>
  <c r="A20" i="5"/>
  <c r="E18" i="5"/>
  <c r="C17" i="5"/>
  <c r="A16" i="5"/>
  <c r="E14" i="5"/>
  <c r="C13" i="5"/>
  <c r="A12" i="5"/>
  <c r="E10" i="5"/>
  <c r="C9" i="5"/>
  <c r="A8" i="5"/>
  <c r="E6" i="5"/>
  <c r="C5" i="5"/>
  <c r="A4" i="5"/>
  <c r="C88" i="5"/>
  <c r="A48" i="5"/>
  <c r="F35" i="5"/>
  <c r="B25" i="5"/>
  <c r="D14" i="5"/>
  <c r="D198" i="5"/>
  <c r="E77" i="5"/>
  <c r="D46" i="5"/>
  <c r="D34" i="5"/>
  <c r="F23" i="5"/>
  <c r="B13" i="5"/>
  <c r="C155" i="5"/>
  <c r="A67" i="5"/>
  <c r="A45" i="5"/>
  <c r="B33" i="5"/>
  <c r="D22" i="5"/>
  <c r="F11" i="5"/>
  <c r="F142" i="5"/>
  <c r="B58" i="5"/>
  <c r="D43" i="5"/>
  <c r="F31" i="5"/>
  <c r="B21" i="5"/>
  <c r="D10" i="5"/>
  <c r="A131" i="5"/>
  <c r="D55" i="5"/>
  <c r="F41" i="5"/>
  <c r="D30" i="5"/>
  <c r="F19" i="5"/>
  <c r="B9" i="5"/>
  <c r="C120" i="5"/>
  <c r="B53" i="5"/>
  <c r="C40" i="5"/>
  <c r="B29" i="5"/>
  <c r="D18" i="5"/>
  <c r="F7" i="5"/>
  <c r="E109" i="5"/>
  <c r="D51" i="5"/>
  <c r="F38" i="5"/>
  <c r="F27" i="5"/>
  <c r="B17" i="5"/>
  <c r="D6" i="5"/>
  <c r="A99" i="5"/>
  <c r="E49" i="5"/>
  <c r="C37" i="5"/>
  <c r="D26" i="5"/>
  <c r="F15" i="5"/>
  <c r="B5" i="5"/>
  <c r="A5" i="4"/>
  <c r="C6" i="4"/>
  <c r="E7" i="4"/>
  <c r="A9" i="4"/>
  <c r="C10" i="4"/>
  <c r="E11" i="4"/>
  <c r="G12" i="4"/>
  <c r="B14" i="4"/>
  <c r="D15" i="4"/>
  <c r="F16" i="4"/>
  <c r="B18" i="4"/>
  <c r="D19" i="4"/>
  <c r="F20" i="4"/>
  <c r="A22" i="4"/>
  <c r="C23" i="4"/>
  <c r="E24" i="4"/>
  <c r="G25" i="4"/>
  <c r="C27" i="4"/>
  <c r="E28" i="4"/>
  <c r="G29" i="4"/>
  <c r="B31" i="4"/>
  <c r="D32" i="4"/>
  <c r="G33" i="4"/>
  <c r="D35" i="4"/>
  <c r="A37" i="4"/>
  <c r="D38" i="4"/>
  <c r="A40" i="4"/>
  <c r="E41" i="4"/>
  <c r="A43" i="4"/>
  <c r="E44" i="4"/>
  <c r="B46" i="4"/>
  <c r="E47" i="4"/>
  <c r="B49" i="4"/>
  <c r="F50" i="4"/>
  <c r="B52" i="4"/>
  <c r="F53" i="4"/>
  <c r="C55" i="4"/>
  <c r="F56" i="4"/>
  <c r="C58" i="4"/>
  <c r="G59" i="4"/>
  <c r="C61" i="4"/>
  <c r="G62" i="4"/>
  <c r="D68" i="4"/>
  <c r="E77" i="4"/>
  <c r="F86" i="4"/>
  <c r="G95" i="4"/>
  <c r="A105" i="4"/>
  <c r="B114" i="4"/>
  <c r="C123" i="4"/>
  <c r="D132" i="4"/>
  <c r="E141" i="4"/>
  <c r="F150" i="4"/>
  <c r="G159" i="4"/>
  <c r="A169" i="4"/>
  <c r="B178" i="4"/>
  <c r="C187" i="4"/>
  <c r="D196" i="4"/>
  <c r="E205" i="4"/>
  <c r="G216" i="4"/>
  <c r="B229" i="4"/>
  <c r="D241" i="4"/>
  <c r="G284" i="4"/>
  <c r="A358" i="4"/>
  <c r="A4" i="4"/>
  <c r="B5" i="4"/>
  <c r="D6" i="4"/>
  <c r="G7" i="4"/>
  <c r="B9" i="4"/>
  <c r="D10" i="4"/>
  <c r="F11" i="4"/>
  <c r="A13" i="4"/>
  <c r="C14" i="4"/>
  <c r="E15" i="4"/>
  <c r="A17" i="4"/>
  <c r="C18" i="4"/>
  <c r="E19" i="4"/>
  <c r="G20" i="4"/>
  <c r="B22" i="4"/>
  <c r="D23" i="4"/>
  <c r="F24" i="4"/>
  <c r="B26" i="4"/>
  <c r="D27" i="4"/>
  <c r="F28" i="4"/>
  <c r="A30" i="4"/>
  <c r="C31" i="4"/>
  <c r="E32" i="4"/>
  <c r="B34" i="4"/>
  <c r="F35" i="4"/>
  <c r="B37" i="4"/>
  <c r="F38" i="4"/>
  <c r="C40" i="4"/>
  <c r="F41" i="4"/>
  <c r="C43" i="4"/>
  <c r="G44" i="4"/>
  <c r="C46" i="4"/>
  <c r="G47" i="4"/>
  <c r="D49" i="4"/>
  <c r="G50" i="4"/>
  <c r="D52" i="4"/>
  <c r="A54" i="4"/>
  <c r="D55" i="4"/>
  <c r="A57" i="4"/>
  <c r="E58" i="4"/>
  <c r="A60" i="4"/>
  <c r="E61" i="4"/>
  <c r="C63" i="4"/>
  <c r="E69" i="4"/>
  <c r="F78" i="4"/>
  <c r="G87" i="4"/>
  <c r="A97" i="4"/>
  <c r="B106" i="4"/>
  <c r="C115" i="4"/>
  <c r="D124" i="4"/>
  <c r="E133" i="4"/>
  <c r="F142" i="4"/>
  <c r="G151" i="4"/>
  <c r="A161" i="4"/>
  <c r="B170" i="4"/>
  <c r="C179" i="4"/>
  <c r="D188" i="4"/>
  <c r="E197" i="4"/>
  <c r="F206" i="4"/>
  <c r="E218" i="4"/>
  <c r="E230" i="4"/>
  <c r="G242" i="4"/>
  <c r="A294" i="4"/>
  <c r="A368" i="4"/>
  <c r="D4" i="2"/>
  <c r="F108" i="6"/>
  <c r="D107" i="6"/>
  <c r="B106" i="6"/>
  <c r="F104" i="6"/>
  <c r="D103" i="6"/>
  <c r="B102" i="6"/>
  <c r="F100" i="6"/>
  <c r="D99" i="6"/>
  <c r="B98" i="6"/>
  <c r="F96" i="6"/>
  <c r="D95" i="6"/>
  <c r="B94" i="6"/>
  <c r="F92" i="6"/>
  <c r="D91" i="6"/>
  <c r="B90" i="6"/>
  <c r="F88" i="6"/>
  <c r="D87" i="6"/>
  <c r="B86" i="6"/>
  <c r="F84" i="6"/>
  <c r="D83" i="6"/>
  <c r="B82" i="6"/>
  <c r="F80" i="6"/>
  <c r="D79" i="6"/>
  <c r="B78" i="6"/>
  <c r="F76" i="6"/>
  <c r="D75" i="6"/>
  <c r="B74" i="6"/>
  <c r="F72" i="6"/>
  <c r="D71" i="6"/>
  <c r="B70" i="6"/>
  <c r="F68" i="6"/>
  <c r="D67" i="6"/>
  <c r="B66" i="6"/>
  <c r="F64" i="6"/>
  <c r="D63" i="6"/>
  <c r="B62" i="6"/>
  <c r="F60" i="6"/>
  <c r="D59" i="6"/>
  <c r="B58" i="6"/>
  <c r="F56" i="6"/>
  <c r="D55" i="6"/>
  <c r="B54" i="6"/>
  <c r="F52" i="6"/>
  <c r="D51" i="6"/>
  <c r="B50" i="6"/>
  <c r="F48" i="6"/>
  <c r="D47" i="6"/>
  <c r="B46" i="6"/>
  <c r="F44" i="6"/>
  <c r="D43" i="6"/>
  <c r="B42" i="6"/>
  <c r="F40" i="6"/>
  <c r="D39" i="6"/>
  <c r="B38" i="6"/>
  <c r="F36" i="6"/>
  <c r="D35" i="6"/>
  <c r="B34" i="6"/>
  <c r="F32" i="6"/>
  <c r="D31" i="6"/>
  <c r="B30" i="6"/>
  <c r="F28" i="6"/>
  <c r="D27" i="6"/>
  <c r="B26" i="6"/>
  <c r="F24" i="6"/>
  <c r="D23" i="6"/>
  <c r="B22" i="6"/>
  <c r="F20" i="6"/>
  <c r="D19" i="6"/>
  <c r="B18" i="6"/>
  <c r="F16" i="6"/>
  <c r="D15" i="6"/>
  <c r="B14" i="6"/>
  <c r="F12" i="6"/>
  <c r="D11" i="6"/>
  <c r="B10" i="6"/>
  <c r="E108" i="6"/>
  <c r="C107" i="6"/>
  <c r="A106" i="6"/>
  <c r="E104" i="6"/>
  <c r="C103" i="6"/>
  <c r="A102" i="6"/>
  <c r="E100" i="6"/>
  <c r="C99" i="6"/>
  <c r="A98" i="6"/>
  <c r="E96" i="6"/>
  <c r="C95" i="6"/>
  <c r="A94" i="6"/>
  <c r="E92" i="6"/>
  <c r="C91" i="6"/>
  <c r="A90" i="6"/>
  <c r="E88" i="6"/>
  <c r="C87" i="6"/>
  <c r="A86" i="6"/>
  <c r="E84" i="6"/>
  <c r="C83" i="6"/>
  <c r="A82" i="6"/>
  <c r="E80" i="6"/>
  <c r="C79" i="6"/>
  <c r="A78" i="6"/>
  <c r="E76" i="6"/>
  <c r="C75" i="6"/>
  <c r="A74" i="6"/>
  <c r="E72" i="6"/>
  <c r="C71" i="6"/>
  <c r="A70" i="6"/>
  <c r="E68" i="6"/>
  <c r="C67" i="6"/>
  <c r="A66" i="6"/>
  <c r="E64" i="6"/>
  <c r="C63" i="6"/>
  <c r="A62" i="6"/>
  <c r="E60" i="6"/>
  <c r="C59" i="6"/>
  <c r="A58" i="6"/>
  <c r="E56" i="6"/>
  <c r="C55" i="6"/>
  <c r="A54" i="6"/>
  <c r="E52" i="6"/>
  <c r="C51" i="6"/>
  <c r="A50" i="6"/>
  <c r="E48" i="6"/>
  <c r="C47" i="6"/>
  <c r="A46" i="6"/>
  <c r="E44" i="6"/>
  <c r="C43" i="6"/>
  <c r="A42" i="6"/>
  <c r="E40" i="6"/>
  <c r="C39" i="6"/>
  <c r="A38" i="6"/>
  <c r="E36" i="6"/>
  <c r="C35" i="6"/>
  <c r="A34" i="6"/>
  <c r="E32" i="6"/>
  <c r="C31" i="6"/>
  <c r="A30" i="6"/>
  <c r="E28" i="6"/>
  <c r="C27" i="6"/>
  <c r="A26" i="6"/>
  <c r="E24" i="6"/>
  <c r="C23" i="6"/>
  <c r="A22" i="6"/>
  <c r="E20" i="6"/>
  <c r="C19" i="6"/>
  <c r="A18" i="6"/>
  <c r="E16" i="6"/>
  <c r="C15" i="6"/>
  <c r="A14" i="6"/>
  <c r="E12" i="6"/>
  <c r="C11" i="6"/>
  <c r="A10" i="6"/>
  <c r="D108" i="6"/>
  <c r="B107" i="6"/>
  <c r="F105" i="6"/>
  <c r="D104" i="6"/>
  <c r="B103" i="6"/>
  <c r="F101" i="6"/>
  <c r="D100" i="6"/>
  <c r="B99" i="6"/>
  <c r="F97" i="6"/>
  <c r="D96" i="6"/>
  <c r="B95" i="6"/>
  <c r="F93" i="6"/>
  <c r="D92" i="6"/>
  <c r="B91" i="6"/>
  <c r="F89" i="6"/>
  <c r="D88" i="6"/>
  <c r="B87" i="6"/>
  <c r="F85" i="6"/>
  <c r="D84" i="6"/>
  <c r="B83" i="6"/>
  <c r="F81" i="6"/>
  <c r="D80" i="6"/>
  <c r="B79" i="6"/>
  <c r="F77" i="6"/>
  <c r="D76" i="6"/>
  <c r="B75" i="6"/>
  <c r="F73" i="6"/>
  <c r="D72" i="6"/>
  <c r="B71" i="6"/>
  <c r="F69" i="6"/>
  <c r="D68" i="6"/>
  <c r="B67" i="6"/>
  <c r="F65" i="6"/>
  <c r="D64" i="6"/>
  <c r="B63" i="6"/>
  <c r="F61" i="6"/>
  <c r="D60" i="6"/>
  <c r="B59" i="6"/>
  <c r="F57" i="6"/>
  <c r="D56" i="6"/>
  <c r="B55" i="6"/>
  <c r="F53" i="6"/>
  <c r="D52" i="6"/>
  <c r="B51" i="6"/>
  <c r="F49" i="6"/>
  <c r="D48" i="6"/>
  <c r="B47" i="6"/>
  <c r="F45" i="6"/>
  <c r="D44" i="6"/>
  <c r="B43" i="6"/>
  <c r="F41" i="6"/>
  <c r="D40" i="6"/>
  <c r="B39" i="6"/>
  <c r="F37" i="6"/>
  <c r="D36" i="6"/>
  <c r="B35" i="6"/>
  <c r="F33" i="6"/>
  <c r="D32" i="6"/>
  <c r="B31" i="6"/>
  <c r="F29" i="6"/>
  <c r="D28" i="6"/>
  <c r="B27" i="6"/>
  <c r="F25" i="6"/>
  <c r="D24" i="6"/>
  <c r="B23" i="6"/>
  <c r="F21" i="6"/>
  <c r="D20" i="6"/>
  <c r="B19" i="6"/>
  <c r="F17" i="6"/>
  <c r="D16" i="6"/>
  <c r="B15" i="6"/>
  <c r="F13" i="6"/>
  <c r="D12" i="6"/>
  <c r="B11" i="6"/>
  <c r="F9" i="6"/>
  <c r="C108" i="6"/>
  <c r="A107" i="6"/>
  <c r="E105" i="6"/>
  <c r="C104" i="6"/>
  <c r="A103" i="6"/>
  <c r="E101" i="6"/>
  <c r="C100" i="6"/>
  <c r="A99" i="6"/>
  <c r="E97" i="6"/>
  <c r="C96" i="6"/>
  <c r="A95" i="6"/>
  <c r="E93" i="6"/>
  <c r="C92" i="6"/>
  <c r="A91" i="6"/>
  <c r="E89" i="6"/>
  <c r="C88" i="6"/>
  <c r="A87" i="6"/>
  <c r="E85" i="6"/>
  <c r="C84" i="6"/>
  <c r="A83" i="6"/>
  <c r="E81" i="6"/>
  <c r="C80" i="6"/>
  <c r="A79" i="6"/>
  <c r="E77" i="6"/>
  <c r="C76" i="6"/>
  <c r="A75" i="6"/>
  <c r="E73" i="6"/>
  <c r="C72" i="6"/>
  <c r="A71" i="6"/>
  <c r="E69" i="6"/>
  <c r="C68" i="6"/>
  <c r="A67" i="6"/>
  <c r="E65" i="6"/>
  <c r="C64" i="6"/>
  <c r="A63" i="6"/>
  <c r="E61" i="6"/>
  <c r="C60" i="6"/>
  <c r="A59" i="6"/>
  <c r="E57" i="6"/>
  <c r="C56" i="6"/>
  <c r="A55" i="6"/>
  <c r="E53" i="6"/>
  <c r="C52" i="6"/>
  <c r="A51" i="6"/>
  <c r="E49" i="6"/>
  <c r="C48" i="6"/>
  <c r="A47" i="6"/>
  <c r="E45" i="6"/>
  <c r="C44" i="6"/>
  <c r="A43" i="6"/>
  <c r="E41" i="6"/>
  <c r="C40" i="6"/>
  <c r="A39" i="6"/>
  <c r="E37" i="6"/>
  <c r="C36" i="6"/>
  <c r="A35" i="6"/>
  <c r="E33" i="6"/>
  <c r="C32" i="6"/>
  <c r="A31" i="6"/>
  <c r="E29" i="6"/>
  <c r="C28" i="6"/>
  <c r="A27" i="6"/>
  <c r="E25" i="6"/>
  <c r="C24" i="6"/>
  <c r="A23" i="6"/>
  <c r="E21" i="6"/>
  <c r="C20" i="6"/>
  <c r="A19" i="6"/>
  <c r="E17" i="6"/>
  <c r="C16" i="6"/>
  <c r="A15" i="6"/>
  <c r="E13" i="6"/>
  <c r="C12" i="6"/>
  <c r="A11" i="6"/>
  <c r="E9" i="6"/>
  <c r="B108" i="6"/>
  <c r="F106" i="6"/>
  <c r="D105" i="6"/>
  <c r="B104" i="6"/>
  <c r="F102" i="6"/>
  <c r="D101" i="6"/>
  <c r="B100" i="6"/>
  <c r="F98" i="6"/>
  <c r="D97" i="6"/>
  <c r="B96" i="6"/>
  <c r="F94" i="6"/>
  <c r="D93" i="6"/>
  <c r="B92" i="6"/>
  <c r="F90" i="6"/>
  <c r="D89" i="6"/>
  <c r="B88" i="6"/>
  <c r="F86" i="6"/>
  <c r="D85" i="6"/>
  <c r="B84" i="6"/>
  <c r="F82" i="6"/>
  <c r="D81" i="6"/>
  <c r="B80" i="6"/>
  <c r="F78" i="6"/>
  <c r="D77" i="6"/>
  <c r="B76" i="6"/>
  <c r="F74" i="6"/>
  <c r="D73" i="6"/>
  <c r="B72" i="6"/>
  <c r="F70" i="6"/>
  <c r="D69" i="6"/>
  <c r="B68" i="6"/>
  <c r="F66" i="6"/>
  <c r="D65" i="6"/>
  <c r="B64" i="6"/>
  <c r="F62" i="6"/>
  <c r="D61" i="6"/>
  <c r="B60" i="6"/>
  <c r="F58" i="6"/>
  <c r="D57" i="6"/>
  <c r="B56" i="6"/>
  <c r="F54" i="6"/>
  <c r="D53" i="6"/>
  <c r="B52" i="6"/>
  <c r="F50" i="6"/>
  <c r="D49" i="6"/>
  <c r="B48" i="6"/>
  <c r="F46" i="6"/>
  <c r="D45" i="6"/>
  <c r="B44" i="6"/>
  <c r="F42" i="6"/>
  <c r="D41" i="6"/>
  <c r="B40" i="6"/>
  <c r="F38" i="6"/>
  <c r="D37" i="6"/>
  <c r="B36" i="6"/>
  <c r="F34" i="6"/>
  <c r="D33" i="6"/>
  <c r="B32" i="6"/>
  <c r="F30" i="6"/>
  <c r="D29" i="6"/>
  <c r="B28" i="6"/>
  <c r="F26" i="6"/>
  <c r="D25" i="6"/>
  <c r="B24" i="6"/>
  <c r="F22" i="6"/>
  <c r="D21" i="6"/>
  <c r="B20" i="6"/>
  <c r="F18" i="6"/>
  <c r="D17" i="6"/>
  <c r="B16" i="6"/>
  <c r="F14" i="6"/>
  <c r="D13" i="6"/>
  <c r="B12" i="6"/>
  <c r="F10" i="6"/>
  <c r="D9" i="6"/>
  <c r="A108" i="6"/>
  <c r="E106" i="6"/>
  <c r="C105" i="6"/>
  <c r="A104" i="6"/>
  <c r="E102" i="6"/>
  <c r="C101" i="6"/>
  <c r="A100" i="6"/>
  <c r="E98" i="6"/>
  <c r="C97" i="6"/>
  <c r="A96" i="6"/>
  <c r="E94" i="6"/>
  <c r="C93" i="6"/>
  <c r="A92" i="6"/>
  <c r="E90" i="6"/>
  <c r="C89" i="6"/>
  <c r="A88" i="6"/>
  <c r="E86" i="6"/>
  <c r="C85" i="6"/>
  <c r="A84" i="6"/>
  <c r="E82" i="6"/>
  <c r="C81" i="6"/>
  <c r="A80" i="6"/>
  <c r="E78" i="6"/>
  <c r="C77" i="6"/>
  <c r="A76" i="6"/>
  <c r="E74" i="6"/>
  <c r="C73" i="6"/>
  <c r="A72" i="6"/>
  <c r="E70" i="6"/>
  <c r="C69" i="6"/>
  <c r="A68" i="6"/>
  <c r="E66" i="6"/>
  <c r="C65" i="6"/>
  <c r="A64" i="6"/>
  <c r="E62" i="6"/>
  <c r="C61" i="6"/>
  <c r="A60" i="6"/>
  <c r="E58" i="6"/>
  <c r="C57" i="6"/>
  <c r="A56" i="6"/>
  <c r="E54" i="6"/>
  <c r="C53" i="6"/>
  <c r="A52" i="6"/>
  <c r="E50" i="6"/>
  <c r="C49" i="6"/>
  <c r="A48" i="6"/>
  <c r="E46" i="6"/>
  <c r="C45" i="6"/>
  <c r="A44" i="6"/>
  <c r="E42" i="6"/>
  <c r="C41" i="6"/>
  <c r="A40" i="6"/>
  <c r="E38" i="6"/>
  <c r="C37" i="6"/>
  <c r="A36" i="6"/>
  <c r="E34" i="6"/>
  <c r="C33" i="6"/>
  <c r="A32" i="6"/>
  <c r="E30" i="6"/>
  <c r="C29" i="6"/>
  <c r="A28" i="6"/>
  <c r="E26" i="6"/>
  <c r="C25" i="6"/>
  <c r="A24" i="6"/>
  <c r="E22" i="6"/>
  <c r="C21" i="6"/>
  <c r="A20" i="6"/>
  <c r="E18" i="6"/>
  <c r="C17" i="6"/>
  <c r="A16" i="6"/>
  <c r="E14" i="6"/>
  <c r="C13" i="6"/>
  <c r="A12" i="6"/>
  <c r="E10" i="6"/>
  <c r="F107" i="6"/>
  <c r="D106" i="6"/>
  <c r="B105" i="6"/>
  <c r="F103" i="6"/>
  <c r="D102" i="6"/>
  <c r="B101" i="6"/>
  <c r="F99" i="6"/>
  <c r="D98" i="6"/>
  <c r="B97" i="6"/>
  <c r="F95" i="6"/>
  <c r="D94" i="6"/>
  <c r="B93" i="6"/>
  <c r="F91" i="6"/>
  <c r="D90" i="6"/>
  <c r="B89" i="6"/>
  <c r="F87" i="6"/>
  <c r="D86" i="6"/>
  <c r="B85" i="6"/>
  <c r="F83" i="6"/>
  <c r="D82" i="6"/>
  <c r="B81" i="6"/>
  <c r="F79" i="6"/>
  <c r="D78" i="6"/>
  <c r="B77" i="6"/>
  <c r="F75" i="6"/>
  <c r="D74" i="6"/>
  <c r="B73" i="6"/>
  <c r="F71" i="6"/>
  <c r="D70" i="6"/>
  <c r="B69" i="6"/>
  <c r="F67" i="6"/>
  <c r="D66" i="6"/>
  <c r="B65" i="6"/>
  <c r="F63" i="6"/>
  <c r="D62" i="6"/>
  <c r="B61" i="6"/>
  <c r="F59" i="6"/>
  <c r="D58" i="6"/>
  <c r="B57" i="6"/>
  <c r="F55" i="6"/>
  <c r="D54" i="6"/>
  <c r="B53" i="6"/>
  <c r="F51" i="6"/>
  <c r="D50" i="6"/>
  <c r="B49" i="6"/>
  <c r="F47" i="6"/>
  <c r="D46" i="6"/>
  <c r="B45" i="6"/>
  <c r="F43" i="6"/>
  <c r="D42" i="6"/>
  <c r="B41" i="6"/>
  <c r="F39" i="6"/>
  <c r="D38" i="6"/>
  <c r="B37" i="6"/>
  <c r="F35" i="6"/>
  <c r="D34" i="6"/>
  <c r="B33" i="6"/>
  <c r="F31" i="6"/>
  <c r="D30" i="6"/>
  <c r="B29" i="6"/>
  <c r="F27" i="6"/>
  <c r="D26" i="6"/>
  <c r="B25" i="6"/>
  <c r="F23" i="6"/>
  <c r="D22" i="6"/>
  <c r="B21" i="6"/>
  <c r="F19" i="6"/>
  <c r="D18" i="6"/>
  <c r="B17" i="6"/>
  <c r="F15" i="6"/>
  <c r="D14" i="6"/>
  <c r="B13" i="6"/>
  <c r="F11" i="6"/>
  <c r="D10" i="6"/>
  <c r="B9" i="6"/>
  <c r="E107" i="6"/>
  <c r="A97" i="6"/>
  <c r="C86" i="6"/>
  <c r="E75" i="6"/>
  <c r="A65" i="6"/>
  <c r="C54" i="6"/>
  <c r="E43" i="6"/>
  <c r="A33" i="6"/>
  <c r="C22" i="6"/>
  <c r="E11" i="6"/>
  <c r="C106" i="6"/>
  <c r="E95" i="6"/>
  <c r="A85" i="6"/>
  <c r="C74" i="6"/>
  <c r="E63" i="6"/>
  <c r="A53" i="6"/>
  <c r="C42" i="6"/>
  <c r="E31" i="6"/>
  <c r="A21" i="6"/>
  <c r="C10" i="6"/>
  <c r="A105" i="6"/>
  <c r="C94" i="6"/>
  <c r="E83" i="6"/>
  <c r="A73" i="6"/>
  <c r="C62" i="6"/>
  <c r="E51" i="6"/>
  <c r="A41" i="6"/>
  <c r="C30" i="6"/>
  <c r="E19" i="6"/>
  <c r="C9" i="6"/>
  <c r="E103" i="6"/>
  <c r="A93" i="6"/>
  <c r="C82" i="6"/>
  <c r="E71" i="6"/>
  <c r="A61" i="6"/>
  <c r="C50" i="6"/>
  <c r="E39" i="6"/>
  <c r="A29" i="6"/>
  <c r="C18" i="6"/>
  <c r="A9" i="6"/>
  <c r="C102" i="6"/>
  <c r="E91" i="6"/>
  <c r="A81" i="6"/>
  <c r="C70" i="6"/>
  <c r="E59" i="6"/>
  <c r="A49" i="6"/>
  <c r="C38" i="6"/>
  <c r="E27" i="6"/>
  <c r="A17" i="6"/>
  <c r="A101" i="6"/>
  <c r="C90" i="6"/>
  <c r="E79" i="6"/>
  <c r="A69" i="6"/>
  <c r="C58" i="6"/>
  <c r="E47" i="6"/>
  <c r="A37" i="6"/>
  <c r="C26" i="6"/>
  <c r="E15" i="6"/>
  <c r="E99" i="6"/>
  <c r="A89" i="6"/>
  <c r="C78" i="6"/>
  <c r="E67" i="6"/>
  <c r="A57" i="6"/>
  <c r="C46" i="6"/>
  <c r="E35" i="6"/>
  <c r="A25" i="6"/>
  <c r="C14" i="6"/>
  <c r="E87" i="6"/>
  <c r="A77" i="6"/>
  <c r="C66" i="6"/>
  <c r="E55" i="6"/>
  <c r="A45" i="6"/>
  <c r="C34" i="6"/>
  <c r="E23" i="6"/>
  <c r="C98" i="6"/>
  <c r="A13" i="6"/>
  <c r="B4" i="4"/>
  <c r="C5" i="4"/>
  <c r="F6" i="4"/>
  <c r="A8" i="4"/>
  <c r="C9" i="4"/>
  <c r="E10" i="4"/>
  <c r="G11" i="4"/>
  <c r="B13" i="4"/>
  <c r="D14" i="4"/>
  <c r="G15" i="4"/>
  <c r="B17" i="4"/>
  <c r="D18" i="4"/>
  <c r="F19" i="4"/>
  <c r="A21" i="4"/>
  <c r="C22" i="4"/>
  <c r="E23" i="4"/>
  <c r="A25" i="4"/>
  <c r="C26" i="4"/>
  <c r="E27" i="4"/>
  <c r="G28" i="4"/>
  <c r="B30" i="4"/>
  <c r="D31" i="4"/>
  <c r="F32" i="4"/>
  <c r="C34" i="4"/>
  <c r="G35" i="4"/>
  <c r="C37" i="4"/>
  <c r="G38" i="4"/>
  <c r="D40" i="4"/>
  <c r="G41" i="4"/>
  <c r="D43" i="4"/>
  <c r="A45" i="4"/>
  <c r="D46" i="4"/>
  <c r="A48" i="4"/>
  <c r="E49" i="4"/>
  <c r="A51" i="4"/>
  <c r="E52" i="4"/>
  <c r="B54" i="4"/>
  <c r="E55" i="4"/>
  <c r="B57" i="4"/>
  <c r="F58" i="4"/>
  <c r="B60" i="4"/>
  <c r="F61" i="4"/>
  <c r="G63" i="4"/>
  <c r="F70" i="4"/>
  <c r="G79" i="4"/>
  <c r="A89" i="4"/>
  <c r="B98" i="4"/>
  <c r="C107" i="4"/>
  <c r="D116" i="4"/>
  <c r="E125" i="4"/>
  <c r="F134" i="4"/>
  <c r="G143" i="4"/>
  <c r="A153" i="4"/>
  <c r="B162" i="4"/>
  <c r="C171" i="4"/>
  <c r="D180" i="4"/>
  <c r="E189" i="4"/>
  <c r="F198" i="4"/>
  <c r="G207" i="4"/>
  <c r="A220" i="4"/>
  <c r="C232" i="4"/>
  <c r="D244" i="4"/>
  <c r="B303" i="4"/>
  <c r="C380" i="4"/>
  <c r="C12" i="1"/>
  <c r="C4" i="4"/>
  <c r="E5" i="4"/>
  <c r="G6" i="4"/>
  <c r="B8" i="4"/>
  <c r="D9" i="4"/>
  <c r="F10" i="4"/>
  <c r="A12" i="4"/>
  <c r="C13" i="4"/>
  <c r="F14" i="4"/>
  <c r="A16" i="4"/>
  <c r="C17" i="4"/>
  <c r="E18" i="4"/>
  <c r="G19" i="4"/>
  <c r="B21" i="4"/>
  <c r="D22" i="4"/>
  <c r="G23" i="4"/>
  <c r="B25" i="4"/>
  <c r="D26" i="4"/>
  <c r="F27" i="4"/>
  <c r="A29" i="4"/>
  <c r="C30" i="4"/>
  <c r="E31" i="4"/>
  <c r="A33" i="4"/>
  <c r="E34" i="4"/>
  <c r="A36" i="4"/>
  <c r="E37" i="4"/>
  <c r="B39" i="4"/>
  <c r="E40" i="4"/>
  <c r="B42" i="4"/>
  <c r="F43" i="4"/>
  <c r="B45" i="4"/>
  <c r="F46" i="4"/>
  <c r="C48" i="4"/>
  <c r="F49" i="4"/>
  <c r="C51" i="4"/>
  <c r="G52" i="4"/>
  <c r="C54" i="4"/>
  <c r="G55" i="4"/>
  <c r="D57" i="4"/>
  <c r="G58" i="4"/>
  <c r="D60" i="4"/>
  <c r="A62" i="4"/>
  <c r="A64" i="4"/>
  <c r="G71" i="4"/>
  <c r="A81" i="4"/>
  <c r="B90" i="4"/>
  <c r="C99" i="4"/>
  <c r="D108" i="4"/>
  <c r="E117" i="4"/>
  <c r="F126" i="4"/>
  <c r="G135" i="4"/>
  <c r="A145" i="4"/>
  <c r="B154" i="4"/>
  <c r="C163" i="4"/>
  <c r="D172" i="4"/>
  <c r="E181" i="4"/>
  <c r="F190" i="4"/>
  <c r="G199" i="4"/>
  <c r="D209" i="4"/>
  <c r="D221" i="4"/>
  <c r="F233" i="4"/>
  <c r="D246" i="4"/>
  <c r="C312" i="4"/>
  <c r="F422" i="4"/>
  <c r="D4" i="4"/>
  <c r="F5" i="4"/>
  <c r="A7" i="4"/>
  <c r="C8" i="4"/>
  <c r="E9" i="4"/>
  <c r="G10" i="4"/>
  <c r="B12" i="4"/>
  <c r="E13" i="4"/>
  <c r="G14" i="4"/>
  <c r="B16" i="4"/>
  <c r="D17" i="4"/>
  <c r="F18" i="4"/>
  <c r="A20" i="4"/>
  <c r="C21" i="4"/>
  <c r="F22" i="4"/>
  <c r="A24" i="4"/>
  <c r="C25" i="4"/>
  <c r="E26" i="4"/>
  <c r="G27" i="4"/>
  <c r="B29" i="4"/>
  <c r="D30" i="4"/>
  <c r="G31" i="4"/>
  <c r="B33" i="4"/>
  <c r="F34" i="4"/>
  <c r="B36" i="4"/>
  <c r="F37" i="4"/>
  <c r="C39" i="4"/>
  <c r="F40" i="4"/>
  <c r="C42" i="4"/>
  <c r="G43" i="4"/>
  <c r="C45" i="4"/>
  <c r="G46" i="4"/>
  <c r="D48" i="4"/>
  <c r="G49" i="4"/>
  <c r="D51" i="4"/>
  <c r="A53" i="4"/>
  <c r="D54" i="4"/>
  <c r="A56" i="4"/>
  <c r="E57" i="4"/>
  <c r="A59" i="4"/>
  <c r="E60" i="4"/>
  <c r="B62" i="4"/>
  <c r="D64" i="4"/>
  <c r="A73" i="4"/>
  <c r="B82" i="4"/>
  <c r="C91" i="4"/>
  <c r="D100" i="4"/>
  <c r="E109" i="4"/>
  <c r="F118" i="4"/>
  <c r="G127" i="4"/>
  <c r="A137" i="4"/>
  <c r="B146" i="4"/>
  <c r="C155" i="4"/>
  <c r="D164" i="4"/>
  <c r="E173" i="4"/>
  <c r="F182" i="4"/>
  <c r="G191" i="4"/>
  <c r="A201" i="4"/>
  <c r="G210" i="4"/>
  <c r="B223" i="4"/>
  <c r="B235" i="4"/>
  <c r="F248" i="4"/>
  <c r="D321" i="4"/>
  <c r="G495" i="4"/>
  <c r="E4" i="4"/>
  <c r="G5" i="4"/>
  <c r="B7" i="4"/>
  <c r="D8" i="4"/>
  <c r="F9" i="4"/>
  <c r="A11" i="4"/>
  <c r="D12" i="4"/>
  <c r="F13" i="4"/>
  <c r="A15" i="4"/>
  <c r="C16" i="4"/>
  <c r="E17" i="4"/>
  <c r="G18" i="4"/>
  <c r="B20" i="4"/>
  <c r="E21" i="4"/>
  <c r="G22" i="4"/>
  <c r="B24" i="4"/>
  <c r="D25" i="4"/>
  <c r="F26" i="4"/>
  <c r="A28" i="4"/>
  <c r="C29" i="4"/>
  <c r="F30" i="4"/>
  <c r="A32" i="4"/>
  <c r="D33" i="4"/>
  <c r="G34" i="4"/>
  <c r="D36" i="4"/>
  <c r="A38" i="4"/>
  <c r="D39" i="4"/>
  <c r="A41" i="4"/>
  <c r="E42" i="4"/>
  <c r="A44" i="4"/>
  <c r="E45" i="4"/>
  <c r="B47" i="4"/>
  <c r="E48" i="4"/>
  <c r="B50" i="4"/>
  <c r="F51" i="4"/>
  <c r="B53" i="4"/>
  <c r="F54" i="4"/>
  <c r="C56" i="4"/>
  <c r="F57" i="4"/>
  <c r="C59" i="4"/>
  <c r="G60" i="4"/>
  <c r="C62" i="4"/>
  <c r="A65" i="4"/>
  <c r="B74" i="4"/>
  <c r="C83" i="4"/>
  <c r="D92" i="4"/>
  <c r="E101" i="4"/>
  <c r="F110" i="4"/>
  <c r="G119" i="4"/>
  <c r="A129" i="4"/>
  <c r="B138" i="4"/>
  <c r="C147" i="4"/>
  <c r="D156" i="4"/>
  <c r="E165" i="4"/>
  <c r="F174" i="4"/>
  <c r="G183" i="4"/>
  <c r="A193" i="4"/>
  <c r="B202" i="4"/>
  <c r="C212" i="4"/>
  <c r="E224" i="4"/>
  <c r="G236" i="4"/>
  <c r="D257" i="4"/>
  <c r="E330" i="4"/>
  <c r="H5" i="6" l="1"/>
  <c r="F4" i="2"/>
  <c r="D12" i="1"/>
</calcChain>
</file>

<file path=xl/sharedStrings.xml><?xml version="1.0" encoding="utf-8"?>
<sst xmlns="http://schemas.openxmlformats.org/spreadsheetml/2006/main" count="115" uniqueCount="86">
  <si>
    <t>BestCricketAuction.com — Auction Dashboard</t>
  </si>
  <si>
    <t>AUCTION OVERVIEW</t>
  </si>
  <si>
    <t>Total Players</t>
  </si>
  <si>
    <t>Sold Players</t>
  </si>
  <si>
    <t>Unsold Players</t>
  </si>
  <si>
    <t>Available Players</t>
  </si>
  <si>
    <t>Total Auction Value</t>
  </si>
  <si>
    <t>Team</t>
  </si>
  <si>
    <t>Initial Purse</t>
  </si>
  <si>
    <t>Spent</t>
  </si>
  <si>
    <t>Remaining Purse</t>
  </si>
  <si>
    <t>Players Bought</t>
  </si>
  <si>
    <t>Need more than 4 teams? Run your complete professional cricket auction with PlayBid.</t>
  </si>
  <si>
    <t>Explore PlayBid for 5+ Teams &amp; Advanced Live Auctions →</t>
  </si>
  <si>
    <t>Need advanced live auction features?</t>
  </si>
  <si>
    <t>Recommended: PlayBid — unlimited teams, player registration, live displays, reports and more.</t>
  </si>
  <si>
    <t>Teams &amp; Purse Management</t>
  </si>
  <si>
    <t>Team Name</t>
  </si>
  <si>
    <t>Initial Purse (₹)</t>
  </si>
  <si>
    <t>Amount Spent (₹)</t>
  </si>
  <si>
    <t>Remaining Purse (₹)</t>
  </si>
  <si>
    <t>Status</t>
  </si>
  <si>
    <t>Team Warriors</t>
  </si>
  <si>
    <t>Team Titans</t>
  </si>
  <si>
    <t>Team Royals</t>
  </si>
  <si>
    <t>FREE TEMPLATE LIMIT</t>
  </si>
  <si>
    <t>This free Excel template supports up to 4 teams. Need 5+ teams and a complete professional live auction experience? Use PlayBid.</t>
  </si>
  <si>
    <t>Need more than 4 teams? Explore PlayBid →</t>
  </si>
  <si>
    <t>Player Auction Manager</t>
  </si>
  <si>
    <t>Player ID</t>
  </si>
  <si>
    <t>Player Name</t>
  </si>
  <si>
    <t>Role</t>
  </si>
  <si>
    <t>Category</t>
  </si>
  <si>
    <t>Base Price (₹)</t>
  </si>
  <si>
    <t>Sold To Team</t>
  </si>
  <si>
    <t>Sold Price (₹)</t>
  </si>
  <si>
    <t>Notes</t>
  </si>
  <si>
    <t>Validation</t>
  </si>
  <si>
    <t>Sold Seq</t>
  </si>
  <si>
    <t>Unsold Seq</t>
  </si>
  <si>
    <t>Team Seq</t>
  </si>
  <si>
    <t>Rahul Sharma</t>
  </si>
  <si>
    <t>All-Rounder</t>
  </si>
  <si>
    <t>A</t>
  </si>
  <si>
    <t>SOLD</t>
  </si>
  <si>
    <t>Rohit Verma</t>
  </si>
  <si>
    <t>Batsman</t>
  </si>
  <si>
    <t>Amit Yadav</t>
  </si>
  <si>
    <t>Bowler</t>
  </si>
  <si>
    <t>B</t>
  </si>
  <si>
    <t>UNSOLD</t>
  </si>
  <si>
    <t>Karan Patil</t>
  </si>
  <si>
    <t>Wicketkeeper</t>
  </si>
  <si>
    <t>AVAILABLE</t>
  </si>
  <si>
    <t>Base Price</t>
  </si>
  <si>
    <t>Sold Price</t>
  </si>
  <si>
    <t>Team View — Squad &amp; Purse</t>
  </si>
  <si>
    <t>Select Team:</t>
  </si>
  <si>
    <t>Amount Spent</t>
  </si>
  <si>
    <t>Free Cricket Auction Excel Template — Instructions</t>
  </si>
  <si>
    <t>Step</t>
  </si>
  <si>
    <t>Action</t>
  </si>
  <si>
    <t>What to do</t>
  </si>
  <si>
    <t>1</t>
  </si>
  <si>
    <t>Add teams</t>
  </si>
  <si>
    <t>Enter up to 4 team names and their initial purses in the Teams sheet.</t>
  </si>
  <si>
    <t>2</t>
  </si>
  <si>
    <t>Add players</t>
  </si>
  <si>
    <t>Enter players in the Players sheet. Use the dropdowns for role, category, status and sold team.</t>
  </si>
  <si>
    <t>3</t>
  </si>
  <si>
    <t>Record auction result</t>
  </si>
  <si>
    <t>For a sold player: select SOLD, choose the winning team, and enter the final sold price. For an unsold player: select UNSOLD.</t>
  </si>
  <si>
    <t>4</t>
  </si>
  <si>
    <t>Automatic updates</t>
  </si>
  <si>
    <t>Dashboard totals, team purse, players bought, Sold Players, Unsold Players and Team View update automatically.</t>
  </si>
  <si>
    <t>5</t>
  </si>
  <si>
    <t>View a team</t>
  </si>
  <si>
    <t>Open Team View and select a team from the dropdown to see its purse, spending and complete squad.</t>
  </si>
  <si>
    <t>6</t>
  </si>
  <si>
    <t>Compatibility</t>
  </si>
  <si>
    <t>Built for Excel 2010 and newer without macros, VBA, FILTER, XLOOKUP or dynamic-array formulas.</t>
  </si>
  <si>
    <t>FREE EXCEL TEMPLATE — UP TO 4 TEAMS</t>
  </si>
  <si>
    <t>Need more than 4 teams?
Run your complete professional cricket auction with PlayBid — unlimited teams, player registration, live auction display, saved tournaments, reports and more.</t>
  </si>
  <si>
    <t>Template by BestCricketAuction.com</t>
  </si>
  <si>
    <t>Recommended professional software: PlayBid</t>
  </si>
  <si>
    <t>Explore PlayBid for Professional Cricket Auctions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</si>
</sst>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4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b/>
      <sz val="11"/>
      <color rgb="FFFFFFFF"/>
      <name val="Calibri"/>
    </font>
    <font>
      <b/>
      <sz val="14"/>
      <color rgb="FFD32F2F"/>
      <name val="Calibri"/>
    </font>
    <font>
      <b/>
      <sz val="11"/>
      <name val="Calibri"/>
    </font>
    <font>
      <b/>
      <sz val="11"/>
      <color rgb="FFD32F2F"/>
      <name val="Calibri"/>
    </font>
    <font>
      <b/>
      <sz val="11"/>
      <color rgb="FF172033"/>
      <name val="Calibri"/>
    </font>
    <font>
      <b/>
      <sz val="12"/>
      <color rgb="FFD32F2F"/>
      <name val="Calibri"/>
    </font>
    <font>
      <sz val="11"/>
      <name val="Calibri"/>
    </font>
    <font>
      <b/>
      <sz val="14"/>
      <color rgb="FFFFFFFF"/>
      <name val="Calibri"/>
    </font>
    <font>
      <b/>
      <sz val="12"/>
      <color rgb="FF172033"/>
      <name val="Calibri"/>
    </font>
    <font>
      <b/>
      <u/>
      <sz val="11"/>
      <color rgb="FFD32F2F"/>
      <name val="Calibri"/>
    </font>
    <font>
      <b/>
      <sz val="13"/>
      <color rgb="FFFFFFFF"/>
      <name val="Calibri"/>
    </font>
    <font>
      <b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2F2F"/>
      </patternFill>
    </fill>
    <fill>
      <patternFill patternType="solid">
        <fgColor rgb="FF172033"/>
      </patternFill>
    </fill>
    <fill>
      <patternFill patternType="solid">
        <fgColor rgb="FFFDECEC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DEE7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" fontId="5" fillId="4" borderId="0" xfId="0" applyNumberFormat="1" applyFont="1" applyFill="1" applyAlignment="1">
      <alignment vertical="center" wrapText="1"/>
    </xf>
    <xf numFmtId="164" fontId="5" fillId="4" borderId="0" xfId="0" applyNumberFormat="1" applyFont="1" applyFill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5" fillId="0" borderId="0" xfId="0" applyFont="1" applyAlignment="1">
      <alignment vertical="center" wrapText="1"/>
    </xf>
    <xf numFmtId="1" fontId="0" fillId="0" borderId="0" xfId="0" applyNumberFormat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8" fillId="0" borderId="2" xfId="0" applyFont="1" applyBorder="1"/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" fillId="2" borderId="0" xfId="0" applyFont="1" applyFill="1" applyAlignment="1">
      <alignment vertical="center" wrapText="1"/>
    </xf>
    <xf numFmtId="0" fontId="0" fillId="0" borderId="0" xfId="0"/>
    <xf numFmtId="0" fontId="9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laybid.in/" TargetMode="External"/><Relationship Id="rId2" Type="http://schemas.openxmlformats.org/officeDocument/2006/relationships/hyperlink" Target="https://playbid.in/" TargetMode="External"/><Relationship Id="rId1" Type="http://schemas.openxmlformats.org/officeDocument/2006/relationships/hyperlink" Target="https://bestcricketauction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laybid.i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playbid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0"/>
  <sheetViews>
    <sheetView showGridLines="0" tabSelected="1" workbookViewId="0">
      <selection activeCell="H19" sqref="H19"/>
    </sheetView>
  </sheetViews>
  <sheetFormatPr defaultRowHeight="15"/>
  <cols>
    <col min="1" max="1" width="12" customWidth="1"/>
    <col min="2" max="2" width="28" customWidth="1"/>
    <col min="3" max="3" width="78" customWidth="1"/>
    <col min="4" max="5" width="18" customWidth="1"/>
  </cols>
  <sheetData>
    <row r="1" spans="1:5" ht="33.950000000000003" customHeight="1">
      <c r="A1" s="15" t="s">
        <v>59</v>
      </c>
      <c r="B1" s="16"/>
      <c r="C1" s="16"/>
      <c r="D1" s="16"/>
      <c r="E1" s="16"/>
    </row>
    <row r="2" spans="1:5">
      <c r="A2" s="1"/>
      <c r="B2" s="1"/>
      <c r="C2" s="1"/>
      <c r="D2" s="1"/>
      <c r="E2" s="1"/>
    </row>
    <row r="3" spans="1:5">
      <c r="A3" s="10" t="s">
        <v>60</v>
      </c>
      <c r="B3" s="10" t="s">
        <v>61</v>
      </c>
      <c r="C3" s="10" t="s">
        <v>62</v>
      </c>
      <c r="D3" s="11"/>
      <c r="E3" s="11"/>
    </row>
    <row r="4" spans="1:5" ht="38.1" customHeight="1">
      <c r="A4" s="12" t="s">
        <v>63</v>
      </c>
      <c r="B4" s="13" t="s">
        <v>64</v>
      </c>
      <c r="C4" s="14" t="s">
        <v>65</v>
      </c>
      <c r="D4" s="11"/>
      <c r="E4" s="11"/>
    </row>
    <row r="5" spans="1:5" ht="38.1" customHeight="1">
      <c r="A5" s="12" t="s">
        <v>66</v>
      </c>
      <c r="B5" s="13" t="s">
        <v>67</v>
      </c>
      <c r="C5" s="14" t="s">
        <v>68</v>
      </c>
      <c r="D5" s="11"/>
      <c r="E5" s="11"/>
    </row>
    <row r="6" spans="1:5" ht="51.95" customHeight="1">
      <c r="A6" s="12" t="s">
        <v>69</v>
      </c>
      <c r="B6" s="13" t="s">
        <v>70</v>
      </c>
      <c r="C6" s="14" t="s">
        <v>71</v>
      </c>
      <c r="D6" s="11"/>
      <c r="E6" s="11"/>
    </row>
    <row r="7" spans="1:5" ht="38.1" customHeight="1">
      <c r="A7" s="12" t="s">
        <v>72</v>
      </c>
      <c r="B7" s="13" t="s">
        <v>73</v>
      </c>
      <c r="C7" s="14" t="s">
        <v>74</v>
      </c>
      <c r="D7" s="11"/>
      <c r="E7" s="11"/>
    </row>
    <row r="8" spans="1:5" ht="38.1" customHeight="1">
      <c r="A8" s="12" t="s">
        <v>75</v>
      </c>
      <c r="B8" s="13" t="s">
        <v>76</v>
      </c>
      <c r="C8" s="14" t="s">
        <v>77</v>
      </c>
      <c r="D8" s="11"/>
      <c r="E8" s="11"/>
    </row>
    <row r="9" spans="1:5" ht="38.1" customHeight="1">
      <c r="A9" s="12" t="s">
        <v>78</v>
      </c>
      <c r="B9" s="13" t="s">
        <v>79</v>
      </c>
      <c r="C9" s="14" t="s">
        <v>80</v>
      </c>
      <c r="D9" s="11"/>
      <c r="E9" s="11"/>
    </row>
    <row r="10" spans="1:5">
      <c r="A10" s="11"/>
      <c r="B10" s="11"/>
      <c r="C10" s="11"/>
      <c r="D10" s="11"/>
      <c r="E10" s="11"/>
    </row>
    <row r="11" spans="1:5">
      <c r="A11" s="11"/>
      <c r="B11" s="11"/>
      <c r="C11" s="11"/>
      <c r="D11" s="11"/>
      <c r="E11" s="11"/>
    </row>
    <row r="12" spans="1:5" ht="27.95" customHeight="1">
      <c r="A12" s="17" t="s">
        <v>81</v>
      </c>
      <c r="B12" s="16"/>
      <c r="C12" s="16"/>
      <c r="D12" s="16"/>
      <c r="E12" s="16"/>
    </row>
    <row r="13" spans="1:5">
      <c r="A13" s="16"/>
      <c r="B13" s="16"/>
      <c r="C13" s="16"/>
      <c r="D13" s="16"/>
      <c r="E13" s="16"/>
    </row>
    <row r="14" spans="1:5">
      <c r="A14" s="11"/>
      <c r="B14" s="11"/>
      <c r="C14" s="11"/>
      <c r="D14" s="11"/>
      <c r="E14" s="11"/>
    </row>
    <row r="15" spans="1:5" ht="27.95" customHeight="1">
      <c r="A15" s="19" t="s">
        <v>82</v>
      </c>
      <c r="B15" s="16"/>
      <c r="C15" s="16"/>
      <c r="D15" s="16"/>
      <c r="E15" s="16"/>
    </row>
    <row r="16" spans="1:5" ht="27.95" customHeight="1">
      <c r="A16" s="16"/>
      <c r="B16" s="16"/>
      <c r="C16" s="16"/>
      <c r="D16" s="16"/>
      <c r="E16" s="16"/>
    </row>
    <row r="17" spans="1:5" ht="27.95" customHeight="1">
      <c r="A17" s="16"/>
      <c r="B17" s="16"/>
      <c r="C17" s="16"/>
      <c r="D17" s="16"/>
      <c r="E17" s="16"/>
    </row>
    <row r="18" spans="1:5">
      <c r="A18" s="11"/>
      <c r="B18" s="11"/>
      <c r="C18" s="11"/>
      <c r="D18" s="11"/>
      <c r="E18" s="11"/>
    </row>
    <row r="19" spans="1:5" ht="26.1" customHeight="1">
      <c r="A19" s="21" t="s">
        <v>83</v>
      </c>
      <c r="B19" s="16"/>
      <c r="C19" s="18" t="s">
        <v>84</v>
      </c>
      <c r="D19" s="16"/>
      <c r="E19" s="16"/>
    </row>
    <row r="20" spans="1:5" ht="24" customHeight="1">
      <c r="A20" s="20" t="s">
        <v>85</v>
      </c>
      <c r="B20" s="16"/>
      <c r="C20" s="16"/>
      <c r="D20" s="16"/>
      <c r="E20" s="16"/>
    </row>
    <row r="21" spans="1:5" ht="24" customHeight="1">
      <c r="A21" s="16"/>
      <c r="B21" s="16"/>
      <c r="C21" s="16"/>
      <c r="D21" s="16"/>
      <c r="E21" s="16"/>
    </row>
    <row r="22" spans="1:5">
      <c r="A22" s="11"/>
      <c r="B22" s="11"/>
      <c r="C22" s="11"/>
      <c r="D22" s="11"/>
      <c r="E22" s="11"/>
    </row>
    <row r="23" spans="1:5">
      <c r="A23" s="11"/>
      <c r="B23" s="11"/>
      <c r="C23" s="11"/>
      <c r="D23" s="11"/>
      <c r="E23" s="11"/>
    </row>
    <row r="24" spans="1:5">
      <c r="A24" s="11"/>
      <c r="B24" s="11"/>
      <c r="C24" s="11"/>
      <c r="D24" s="11"/>
      <c r="E24" s="11"/>
    </row>
    <row r="25" spans="1:5">
      <c r="A25" s="11"/>
      <c r="B25" s="11"/>
      <c r="C25" s="11"/>
      <c r="D25" s="11"/>
      <c r="E25" s="11"/>
    </row>
    <row r="26" spans="1:5">
      <c r="A26" s="11"/>
      <c r="B26" s="11"/>
      <c r="C26" s="11"/>
      <c r="D26" s="11"/>
      <c r="E26" s="11"/>
    </row>
    <row r="27" spans="1:5">
      <c r="A27" s="11"/>
      <c r="B27" s="11"/>
      <c r="C27" s="11"/>
      <c r="D27" s="11"/>
      <c r="E27" s="11"/>
    </row>
    <row r="28" spans="1:5">
      <c r="A28" s="11"/>
      <c r="B28" s="11"/>
      <c r="C28" s="11"/>
      <c r="D28" s="11"/>
      <c r="E28" s="11"/>
    </row>
    <row r="29" spans="1:5">
      <c r="A29" s="11"/>
      <c r="B29" s="11"/>
      <c r="C29" s="11"/>
      <c r="D29" s="11"/>
      <c r="E29" s="11"/>
    </row>
    <row r="30" spans="1:5">
      <c r="A30" s="11"/>
      <c r="B30" s="11"/>
      <c r="C30" s="11"/>
      <c r="D30" s="11"/>
      <c r="E30" s="11"/>
    </row>
  </sheetData>
  <mergeCells count="6">
    <mergeCell ref="A1:E1"/>
    <mergeCell ref="A12:E13"/>
    <mergeCell ref="C19:E19"/>
    <mergeCell ref="A15:E17"/>
    <mergeCell ref="A20:E21"/>
    <mergeCell ref="A19:B19"/>
  </mergeCells>
  <hyperlinks>
    <hyperlink ref="A19" r:id="rId1" xr:uid="{00000000-0004-0000-0600-000000000000}"/>
    <hyperlink ref="C19" r:id="rId2" xr:uid="{00000000-0004-0000-0600-000001000000}"/>
    <hyperlink ref="A20" r:id="rId3" xr:uid="{00000000-0004-0000-0600-000002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workbookViewId="0">
      <selection activeCell="A18" sqref="A18:E19"/>
    </sheetView>
  </sheetViews>
  <sheetFormatPr defaultRowHeight="15"/>
  <cols>
    <col min="1" max="1" width="32" customWidth="1"/>
    <col min="2" max="2" width="22" customWidth="1"/>
    <col min="3" max="3" width="20" customWidth="1"/>
    <col min="4" max="4" width="22" customWidth="1"/>
    <col min="5" max="5" width="18" customWidth="1"/>
  </cols>
  <sheetData>
    <row r="1" spans="1:8" ht="33.950000000000003" customHeight="1">
      <c r="A1" s="15" t="s">
        <v>0</v>
      </c>
      <c r="B1" s="16"/>
      <c r="C1" s="16"/>
      <c r="D1" s="16"/>
      <c r="E1" s="16"/>
      <c r="F1" s="16"/>
      <c r="G1" s="16"/>
      <c r="H1" s="16"/>
    </row>
    <row r="2" spans="1:8">
      <c r="A2" s="1"/>
      <c r="B2" s="1"/>
      <c r="C2" s="1"/>
      <c r="D2" s="1"/>
      <c r="E2" s="1"/>
      <c r="F2" s="1"/>
      <c r="G2" s="1"/>
      <c r="H2" s="1"/>
    </row>
    <row r="3" spans="1:8" ht="18.75">
      <c r="A3" s="2" t="s">
        <v>1</v>
      </c>
      <c r="B3" s="1"/>
      <c r="C3" s="1"/>
      <c r="D3" s="1"/>
      <c r="E3" s="1"/>
      <c r="F3" s="1"/>
      <c r="G3" s="1"/>
      <c r="H3" s="1"/>
    </row>
    <row r="4" spans="1:8">
      <c r="A4" s="3" t="s">
        <v>2</v>
      </c>
      <c r="B4" s="4">
        <f>COUNTIF(Players!B4:B503,"&lt;&gt;")</f>
        <v>4</v>
      </c>
      <c r="C4" s="1"/>
      <c r="D4" s="1"/>
      <c r="E4" s="1"/>
      <c r="F4" s="1"/>
      <c r="G4" s="1"/>
      <c r="H4" s="1"/>
    </row>
    <row r="5" spans="1:8">
      <c r="A5" s="3" t="s">
        <v>3</v>
      </c>
      <c r="B5" s="4">
        <f>COUNTIF(Players!F4:F503,"SOLD")</f>
        <v>2</v>
      </c>
      <c r="C5" s="1"/>
      <c r="D5" s="1"/>
      <c r="E5" s="1"/>
      <c r="F5" s="1"/>
      <c r="G5" s="1"/>
      <c r="H5" s="1"/>
    </row>
    <row r="6" spans="1:8">
      <c r="A6" s="3" t="s">
        <v>4</v>
      </c>
      <c r="B6" s="4">
        <f>COUNTIF(Players!F4:F503,"UNSOLD")</f>
        <v>1</v>
      </c>
      <c r="C6" s="1"/>
      <c r="D6" s="1"/>
      <c r="E6" s="1"/>
      <c r="F6" s="1"/>
      <c r="G6" s="1"/>
      <c r="H6" s="1"/>
    </row>
    <row r="7" spans="1:8">
      <c r="A7" s="3" t="s">
        <v>5</v>
      </c>
      <c r="B7" s="4">
        <f>COUNTIF(Players!F4:F503,"AVAILABLE")</f>
        <v>1</v>
      </c>
      <c r="C7" s="1"/>
      <c r="D7" s="1"/>
      <c r="E7" s="1"/>
      <c r="F7" s="1"/>
      <c r="G7" s="1"/>
      <c r="H7" s="1"/>
    </row>
    <row r="8" spans="1:8">
      <c r="A8" s="3" t="s">
        <v>6</v>
      </c>
      <c r="B8" s="5">
        <f>SUMIFS(Players!H4:H503,Players!F4:F503,"SOLD")</f>
        <v>55000</v>
      </c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6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1"/>
      <c r="G11" s="1"/>
      <c r="H11" s="1"/>
    </row>
    <row r="12" spans="1:8">
      <c r="A12" s="1" t="str">
        <f>Teams!A4</f>
        <v>Team Warriors</v>
      </c>
      <c r="B12" s="7">
        <f>Teams!B4</f>
        <v>200000</v>
      </c>
      <c r="C12" s="7">
        <f>Teams!C4</f>
        <v>25000</v>
      </c>
      <c r="D12" s="7">
        <f>Teams!D4</f>
        <v>175000</v>
      </c>
      <c r="E12" s="1">
        <f>Teams!E4</f>
        <v>1</v>
      </c>
      <c r="F12" s="1"/>
      <c r="G12" s="1"/>
      <c r="H12" s="1"/>
    </row>
    <row r="13" spans="1:8">
      <c r="A13" s="1" t="str">
        <f>Teams!A5</f>
        <v>Team Titans</v>
      </c>
      <c r="B13" s="7">
        <f>Teams!B5</f>
        <v>200000</v>
      </c>
      <c r="C13" s="7">
        <f>Teams!C5</f>
        <v>30000</v>
      </c>
      <c r="D13" s="7">
        <f>Teams!D5</f>
        <v>170000</v>
      </c>
      <c r="E13" s="1">
        <f>Teams!E5</f>
        <v>1</v>
      </c>
      <c r="F13" s="1"/>
      <c r="G13" s="1"/>
      <c r="H13" s="1"/>
    </row>
    <row r="14" spans="1:8">
      <c r="A14" s="1" t="str">
        <f>Teams!A6</f>
        <v>Team Royals</v>
      </c>
      <c r="B14" s="7">
        <f>Teams!B6</f>
        <v>200000</v>
      </c>
      <c r="C14" s="7">
        <f>Teams!C6</f>
        <v>0</v>
      </c>
      <c r="D14" s="7">
        <f>Teams!D6</f>
        <v>200000</v>
      </c>
      <c r="E14" s="1">
        <f>Teams!E6</f>
        <v>0</v>
      </c>
      <c r="F14" s="1"/>
      <c r="G14" s="1"/>
      <c r="H14" s="1"/>
    </row>
    <row r="15" spans="1:8">
      <c r="A15" s="1">
        <f>Teams!A7</f>
        <v>0</v>
      </c>
      <c r="B15" s="7">
        <f>Teams!B7</f>
        <v>0</v>
      </c>
      <c r="C15" s="7" t="str">
        <f>Teams!C7</f>
        <v/>
      </c>
      <c r="D15" s="7" t="str">
        <f>Teams!D7</f>
        <v/>
      </c>
      <c r="E15" s="1" t="str">
        <f>Teams!E7</f>
        <v/>
      </c>
      <c r="F15" s="1"/>
      <c r="G15" s="1"/>
      <c r="H15" s="1"/>
    </row>
    <row r="16" spans="1:8">
      <c r="A16" s="1"/>
      <c r="B16" s="7"/>
      <c r="C16" s="7"/>
      <c r="D16" s="7"/>
      <c r="E16" s="1"/>
      <c r="F16" s="1"/>
      <c r="G16" s="1"/>
      <c r="H16" s="1"/>
    </row>
    <row r="17" spans="1:8">
      <c r="A17" s="1"/>
      <c r="B17" s="7"/>
      <c r="C17" s="7"/>
      <c r="D17" s="7"/>
      <c r="E17" s="1"/>
      <c r="F17" s="1"/>
      <c r="G17" s="1"/>
      <c r="H17" s="1"/>
    </row>
    <row r="18" spans="1:8" ht="27.95" customHeight="1">
      <c r="A18" s="22" t="s">
        <v>12</v>
      </c>
      <c r="B18" s="16"/>
      <c r="C18" s="16"/>
      <c r="D18" s="16"/>
      <c r="E18" s="16"/>
      <c r="F18" s="1"/>
      <c r="G18" s="1"/>
      <c r="H18" s="1"/>
    </row>
    <row r="19" spans="1:8" ht="27.95" customHeight="1">
      <c r="A19" s="16"/>
      <c r="B19" s="16"/>
      <c r="C19" s="16"/>
      <c r="D19" s="16"/>
      <c r="E19" s="16"/>
      <c r="F19" s="1"/>
      <c r="G19" s="1"/>
      <c r="H19" s="1"/>
    </row>
    <row r="20" spans="1:8">
      <c r="A20" s="1"/>
      <c r="B20" s="7"/>
      <c r="C20" s="7"/>
      <c r="D20" s="7"/>
      <c r="E20" s="1"/>
      <c r="F20" s="1"/>
      <c r="G20" s="1"/>
      <c r="H20" s="1"/>
    </row>
    <row r="21" spans="1:8" ht="24" customHeight="1">
      <c r="A21" s="23" t="s">
        <v>13</v>
      </c>
      <c r="B21" s="16"/>
      <c r="C21" s="16"/>
      <c r="D21" s="16"/>
      <c r="E21" s="16"/>
      <c r="F21" s="1"/>
      <c r="G21" s="1"/>
      <c r="H21" s="1"/>
    </row>
    <row r="22" spans="1:8" ht="24" customHeight="1">
      <c r="A22" s="16"/>
      <c r="B22" s="16"/>
      <c r="C22" s="16"/>
      <c r="D22" s="16"/>
      <c r="E22" s="16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 ht="30">
      <c r="A24" s="1" t="s">
        <v>14</v>
      </c>
      <c r="B24" s="1"/>
      <c r="C24" s="1"/>
      <c r="D24" s="1"/>
      <c r="E24" s="1"/>
      <c r="F24" s="1"/>
      <c r="G24" s="1"/>
      <c r="H24" s="1"/>
    </row>
    <row r="25" spans="1:8" ht="60">
      <c r="A25" s="8" t="s">
        <v>15</v>
      </c>
      <c r="B25" s="1"/>
      <c r="C25" s="1"/>
      <c r="D25" s="1"/>
      <c r="E25" s="1"/>
      <c r="F25" s="1"/>
      <c r="G25" s="1"/>
      <c r="H25" s="1"/>
    </row>
  </sheetData>
  <mergeCells count="3">
    <mergeCell ref="A18:E19"/>
    <mergeCell ref="A21:E22"/>
    <mergeCell ref="A1:H1"/>
  </mergeCells>
  <hyperlinks>
    <hyperlink ref="A21" r:id="rId1" xr:uid="{00000000-0004-0000-0000-000000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showGridLines="0" workbookViewId="0">
      <pane ySplit="3" topLeftCell="A4" activePane="bottomLeft" state="frozen"/>
      <selection pane="bottomLeft" sqref="A1:F1"/>
    </sheetView>
  </sheetViews>
  <sheetFormatPr defaultRowHeight="15"/>
  <cols>
    <col min="1" max="1" width="27" customWidth="1"/>
    <col min="2" max="3" width="20" customWidth="1"/>
    <col min="4" max="4" width="22" customWidth="1"/>
    <col min="5" max="6" width="18" customWidth="1"/>
  </cols>
  <sheetData>
    <row r="1" spans="1:6" ht="33.950000000000003" customHeight="1">
      <c r="A1" s="15" t="s">
        <v>16</v>
      </c>
      <c r="B1" s="16"/>
      <c r="C1" s="16"/>
      <c r="D1" s="16"/>
      <c r="E1" s="16"/>
      <c r="F1" s="16"/>
    </row>
    <row r="2" spans="1:6">
      <c r="A2" s="1"/>
      <c r="B2" s="1"/>
      <c r="C2" s="1"/>
      <c r="D2" s="1"/>
      <c r="E2" s="1"/>
      <c r="F2" s="1"/>
    </row>
    <row r="3" spans="1:6">
      <c r="A3" s="6" t="s">
        <v>17</v>
      </c>
      <c r="B3" s="6" t="s">
        <v>18</v>
      </c>
      <c r="C3" s="6" t="s">
        <v>19</v>
      </c>
      <c r="D3" s="6" t="s">
        <v>20</v>
      </c>
      <c r="E3" s="6" t="s">
        <v>11</v>
      </c>
      <c r="F3" s="6" t="s">
        <v>21</v>
      </c>
    </row>
    <row r="4" spans="1:6">
      <c r="A4" s="1" t="s">
        <v>22</v>
      </c>
      <c r="B4" s="7">
        <v>200000</v>
      </c>
      <c r="C4" s="7">
        <f>IF(A4="","",SUMIFS(Players!$H$4:$H$503,Players!$G$4:$G$503,A4,Players!$F$4:$F$503,"SOLD"))</f>
        <v>25000</v>
      </c>
      <c r="D4" s="7">
        <f>IF(A4="","",B4-C4)</f>
        <v>175000</v>
      </c>
      <c r="E4" s="9">
        <f>IF(A4="","",COUNTIFS(Players!$G$4:$G$503,A4,Players!$F$4:$F$503,"SOLD"))</f>
        <v>1</v>
      </c>
      <c r="F4" s="1" t="str">
        <f>IF(A4="","",IF(D4&lt;0,"OVER BUDGET","OK"))</f>
        <v>OK</v>
      </c>
    </row>
    <row r="5" spans="1:6">
      <c r="A5" s="1" t="s">
        <v>23</v>
      </c>
      <c r="B5" s="7">
        <v>200000</v>
      </c>
      <c r="C5" s="7">
        <f>IF(A5="","",SUMIFS(Players!$H$4:$H$503,Players!$G$4:$G$503,A5,Players!$F$4:$F$503,"SOLD"))</f>
        <v>30000</v>
      </c>
      <c r="D5" s="7">
        <f>IF(A5="","",B5-C5)</f>
        <v>170000</v>
      </c>
      <c r="E5" s="9">
        <f>IF(A5="","",COUNTIFS(Players!$G$4:$G$503,A5,Players!$F$4:$F$503,"SOLD"))</f>
        <v>1</v>
      </c>
      <c r="F5" s="1" t="str">
        <f>IF(A5="","",IF(D5&lt;0,"OVER BUDGET","OK"))</f>
        <v>OK</v>
      </c>
    </row>
    <row r="6" spans="1:6">
      <c r="A6" s="1" t="s">
        <v>24</v>
      </c>
      <c r="B6" s="7">
        <v>200000</v>
      </c>
      <c r="C6" s="7">
        <f>IF(A6="","",SUMIFS(Players!$H$4:$H$503,Players!$G$4:$G$503,A6,Players!$F$4:$F$503,"SOLD"))</f>
        <v>0</v>
      </c>
      <c r="D6" s="7">
        <f>IF(A6="","",B6-C6)</f>
        <v>200000</v>
      </c>
      <c r="E6" s="9">
        <f>IF(A6="","",COUNTIFS(Players!$G$4:$G$503,A6,Players!$F$4:$F$503,"SOLD"))</f>
        <v>0</v>
      </c>
      <c r="F6" s="1" t="str">
        <f>IF(A6="","",IF(D6&lt;0,"OVER BUDGET","OK"))</f>
        <v>OK</v>
      </c>
    </row>
    <row r="7" spans="1:6">
      <c r="A7" s="1"/>
      <c r="B7" s="7"/>
      <c r="C7" s="7" t="str">
        <f>IF(A7="","",SUMIFS(Players!$H$4:$H$503,Players!$G$4:$G$503,A7,Players!$F$4:$F$503,"SOLD"))</f>
        <v/>
      </c>
      <c r="D7" s="7" t="str">
        <f>IF(A7="","",B7-C7)</f>
        <v/>
      </c>
      <c r="E7" s="9" t="str">
        <f>IF(A7="","",COUNTIFS(Players!$G$4:$G$503,A7,Players!$F$4:$F$503,"SOLD"))</f>
        <v/>
      </c>
      <c r="F7" s="1" t="str">
        <f>IF(A7="","",IF(D7&lt;0,"OVER BUDGET","OK"))</f>
        <v/>
      </c>
    </row>
    <row r="8" spans="1:6">
      <c r="A8" s="1"/>
      <c r="B8" s="7"/>
      <c r="C8" s="7"/>
      <c r="D8" s="7"/>
      <c r="E8" s="9"/>
      <c r="F8" s="1"/>
    </row>
    <row r="9" spans="1:6">
      <c r="A9" s="1"/>
      <c r="B9" s="7"/>
      <c r="C9" s="7"/>
      <c r="D9" s="7"/>
      <c r="E9" s="9"/>
      <c r="F9" s="1"/>
    </row>
    <row r="10" spans="1:6">
      <c r="A10" s="8" t="s">
        <v>25</v>
      </c>
      <c r="B10" s="7"/>
      <c r="C10" s="7"/>
      <c r="D10" s="7"/>
      <c r="E10" s="9"/>
      <c r="F10" s="1"/>
    </row>
    <row r="11" spans="1:6" ht="27.95" customHeight="1">
      <c r="A11" s="24" t="s">
        <v>26</v>
      </c>
      <c r="B11" s="16"/>
      <c r="C11" s="16"/>
      <c r="D11" s="16"/>
      <c r="E11" s="16"/>
      <c r="F11" s="16"/>
    </row>
    <row r="12" spans="1:6" ht="27.95" customHeight="1">
      <c r="A12" s="16"/>
      <c r="B12" s="16"/>
      <c r="C12" s="16"/>
      <c r="D12" s="16"/>
      <c r="E12" s="16"/>
      <c r="F12" s="16"/>
    </row>
    <row r="13" spans="1:6">
      <c r="A13" s="1"/>
      <c r="B13" s="7"/>
      <c r="C13" s="7"/>
      <c r="D13" s="7"/>
      <c r="E13" s="9"/>
      <c r="F13" s="1"/>
    </row>
    <row r="14" spans="1:6">
      <c r="A14" s="23" t="s">
        <v>27</v>
      </c>
      <c r="B14" s="16"/>
      <c r="C14" s="16"/>
      <c r="D14" s="16"/>
      <c r="E14" s="16"/>
      <c r="F14" s="16"/>
    </row>
    <row r="15" spans="1:6">
      <c r="A15" s="16"/>
      <c r="B15" s="16"/>
      <c r="C15" s="16"/>
      <c r="D15" s="16"/>
      <c r="E15" s="16"/>
      <c r="F15" s="16"/>
    </row>
  </sheetData>
  <mergeCells count="3">
    <mergeCell ref="A14:F15"/>
    <mergeCell ref="A1:F1"/>
    <mergeCell ref="A11:F12"/>
  </mergeCells>
  <hyperlinks>
    <hyperlink ref="A14" r:id="rId1" xr:uid="{00000000-0004-0000-0100-000000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03"/>
  <sheetViews>
    <sheetView showGridLines="0" workbookViewId="0">
      <pane ySplit="3" topLeftCell="A4" activePane="bottomLeft" state="frozen"/>
      <selection pane="bottomLeft" activeCell="H7" sqref="H7"/>
    </sheetView>
  </sheetViews>
  <sheetFormatPr defaultRowHeight="15"/>
  <cols>
    <col min="1" max="1" width="11" customWidth="1"/>
    <col min="2" max="2" width="25" customWidth="1"/>
    <col min="3" max="3" width="18" customWidth="1"/>
    <col min="4" max="4" width="14" customWidth="1"/>
    <col min="5" max="5" width="18" customWidth="1"/>
    <col min="6" max="6" width="15" customWidth="1"/>
    <col min="7" max="7" width="25" customWidth="1"/>
    <col min="8" max="8" width="18" customWidth="1"/>
    <col min="9" max="9" width="30" customWidth="1"/>
    <col min="10" max="10" width="22" customWidth="1"/>
    <col min="11" max="13" width="13" hidden="1" customWidth="1"/>
  </cols>
  <sheetData>
    <row r="1" spans="1:13" ht="33.950000000000003" customHeight="1">
      <c r="A1" s="15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6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6" t="s">
        <v>21</v>
      </c>
      <c r="G3" s="6" t="s">
        <v>34</v>
      </c>
      <c r="H3" s="6" t="s">
        <v>35</v>
      </c>
      <c r="I3" s="6" t="s">
        <v>36</v>
      </c>
      <c r="J3" s="6" t="s">
        <v>37</v>
      </c>
      <c r="K3" s="6" t="s">
        <v>38</v>
      </c>
      <c r="L3" s="6" t="s">
        <v>39</v>
      </c>
      <c r="M3" s="6" t="s">
        <v>40</v>
      </c>
    </row>
    <row r="4" spans="1:13">
      <c r="A4" s="1">
        <f t="shared" ref="A4:A67" si="0">IF(B4="","",ROW()-3)</f>
        <v>1</v>
      </c>
      <c r="B4" s="1" t="s">
        <v>41</v>
      </c>
      <c r="C4" s="1" t="s">
        <v>42</v>
      </c>
      <c r="D4" s="1" t="s">
        <v>43</v>
      </c>
      <c r="E4" s="7">
        <v>5000</v>
      </c>
      <c r="F4" s="1" t="s">
        <v>44</v>
      </c>
      <c r="G4" s="1" t="s">
        <v>22</v>
      </c>
      <c r="H4" s="7">
        <v>25000</v>
      </c>
      <c r="I4" s="1"/>
      <c r="J4" s="1" t="str">
        <f>IF(B4="","",IF(F4&lt;&gt;"SOLD","",IF(OR(G4="",H4=""),"SELECT TEAM &amp; PRICE",IFERROR(IF(H4&gt;INDEX(Teams!$B$4:$B$13,MATCH(G4,Teams!$A$4:$A$13,0))-SUMIFS($H$4:$H$503,$G$4:$G$503,G4,$F$4:$F$503,"SOLD",$A$4:$A$503,"&lt;&gt;"&amp;A4),"OVER BUDGET","OK"),"INVALID TEAM"))))</f>
        <v>OK</v>
      </c>
      <c r="K4" s="1">
        <f>IF(F4="SOLD",COUNTIF($F$4:F4,"SOLD"),"")</f>
        <v>1</v>
      </c>
      <c r="L4" s="1" t="str">
        <f>IF(F4="UNSOLD",COUNTIF($F$4:F4,"UNSOLD"),"")</f>
        <v/>
      </c>
      <c r="M4" s="1">
        <f>IF(AND(F4="SOLD",G4='Team View'!$B$3),COUNTIFS($F$4:F4,"SOLD",$G$4:G4,'Team View'!$B$3),"")</f>
        <v>1</v>
      </c>
    </row>
    <row r="5" spans="1:13">
      <c r="A5" s="1">
        <f t="shared" si="0"/>
        <v>2</v>
      </c>
      <c r="B5" s="1" t="s">
        <v>45</v>
      </c>
      <c r="C5" s="1" t="s">
        <v>46</v>
      </c>
      <c r="D5" s="1" t="s">
        <v>43</v>
      </c>
      <c r="E5" s="7">
        <v>5000</v>
      </c>
      <c r="F5" s="1" t="s">
        <v>44</v>
      </c>
      <c r="G5" s="1" t="s">
        <v>23</v>
      </c>
      <c r="H5" s="7">
        <v>30000</v>
      </c>
      <c r="I5" s="1"/>
      <c r="J5" s="1" t="str">
        <f>IF(B5="","",IF(F5&lt;&gt;"SOLD","",IF(OR(G5="",H5=""),"SELECT TEAM &amp; PRICE",IFERROR(IF(H5&gt;INDEX(Teams!$B$4:$B$13,MATCH(G5,Teams!$A$4:$A$13,0))-SUMIFS($H$4:$H$503,$G$4:$G$503,G5,$F$4:$F$503,"SOLD",$A$4:$A$503,"&lt;&gt;"&amp;A5),"OVER BUDGET","OK"),"INVALID TEAM"))))</f>
        <v>OK</v>
      </c>
      <c r="K5" s="1">
        <f>IF(F5="SOLD",COUNTIF($F$4:F5,"SOLD"),"")</f>
        <v>2</v>
      </c>
      <c r="L5" s="1" t="str">
        <f>IF(F5="UNSOLD",COUNTIF($F$4:F5,"UNSOLD"),"")</f>
        <v/>
      </c>
      <c r="M5" s="1" t="str">
        <f>IF(AND(F5="SOLD",G5='Team View'!$B$3),COUNTIFS($F$4:F5,"SOLD",$G$4:G5,'Team View'!$B$3),"")</f>
        <v/>
      </c>
    </row>
    <row r="6" spans="1:13">
      <c r="A6" s="1">
        <f t="shared" si="0"/>
        <v>3</v>
      </c>
      <c r="B6" s="1" t="s">
        <v>47</v>
      </c>
      <c r="C6" s="1" t="s">
        <v>48</v>
      </c>
      <c r="D6" s="1" t="s">
        <v>49</v>
      </c>
      <c r="E6" s="7">
        <v>3000</v>
      </c>
      <c r="F6" s="1" t="s">
        <v>50</v>
      </c>
      <c r="G6" s="1"/>
      <c r="H6" s="7"/>
      <c r="I6" s="1"/>
      <c r="J6" s="1" t="str">
        <f>IF(B6="","",IF(F6&lt;&gt;"SOLD","",IF(OR(G6="",H6=""),"SELECT TEAM &amp; PRICE",IFERROR(IF(H6&gt;INDEX(Teams!$B$4:$B$13,MATCH(G6,Teams!$A$4:$A$13,0))-SUMIFS($H$4:$H$503,$G$4:$G$503,G6,$F$4:$F$503,"SOLD",$A$4:$A$503,"&lt;&gt;"&amp;A6),"OVER BUDGET","OK"),"INVALID TEAM"))))</f>
        <v/>
      </c>
      <c r="K6" s="1" t="str">
        <f>IF(F6="SOLD",COUNTIF($F$4:F6,"SOLD"),"")</f>
        <v/>
      </c>
      <c r="L6" s="1">
        <f>IF(F6="UNSOLD",COUNTIF($F$4:F6,"UNSOLD"),"")</f>
        <v>1</v>
      </c>
      <c r="M6" s="1" t="str">
        <f>IF(AND(F6="SOLD",G6='Team View'!$B$3),COUNTIFS($F$4:F6,"SOLD",$G$4:G6,'Team View'!$B$3),"")</f>
        <v/>
      </c>
    </row>
    <row r="7" spans="1:13">
      <c r="A7" s="1">
        <f t="shared" si="0"/>
        <v>4</v>
      </c>
      <c r="B7" s="1" t="s">
        <v>51</v>
      </c>
      <c r="C7" s="1" t="s">
        <v>52</v>
      </c>
      <c r="D7" s="1" t="s">
        <v>49</v>
      </c>
      <c r="E7" s="7">
        <v>3000</v>
      </c>
      <c r="F7" s="1" t="s">
        <v>53</v>
      </c>
      <c r="G7" s="1"/>
      <c r="H7" s="7"/>
      <c r="I7" s="1"/>
      <c r="J7" s="1" t="str">
        <f>IF(B7="","",IF(F7&lt;&gt;"SOLD","",IF(OR(G7="",H7=""),"SELECT TEAM &amp; PRICE",IFERROR(IF(H7&gt;INDEX(Teams!$B$4:$B$13,MATCH(G7,Teams!$A$4:$A$13,0))-SUMIFS($H$4:$H$503,$G$4:$G$503,G7,$F$4:$F$503,"SOLD",$A$4:$A$503,"&lt;&gt;"&amp;A7),"OVER BUDGET","OK"),"INVALID TEAM"))))</f>
        <v/>
      </c>
      <c r="K7" s="1" t="str">
        <f>IF(F7="SOLD",COUNTIF($F$4:F7,"SOLD"),"")</f>
        <v/>
      </c>
      <c r="L7" s="1" t="str">
        <f>IF(F7="UNSOLD",COUNTIF($F$4:F7,"UNSOLD"),"")</f>
        <v/>
      </c>
      <c r="M7" s="1" t="str">
        <f>IF(AND(F7="SOLD",G7='Team View'!$B$3),COUNTIFS($F$4:F7,"SOLD",$G$4:G7,'Team View'!$B$3),"")</f>
        <v/>
      </c>
    </row>
    <row r="8" spans="1:13">
      <c r="A8" s="1" t="str">
        <f t="shared" si="0"/>
        <v/>
      </c>
      <c r="B8" s="1"/>
      <c r="C8" s="1"/>
      <c r="D8" s="1"/>
      <c r="E8" s="7"/>
      <c r="F8" s="1"/>
      <c r="G8" s="1"/>
      <c r="H8" s="7"/>
      <c r="I8" s="1"/>
      <c r="J8" s="1" t="str">
        <f>IF(B8="","",IF(F8&lt;&gt;"SOLD","",IF(OR(G8="",H8=""),"SELECT TEAM &amp; PRICE",IFERROR(IF(H8&gt;INDEX(Teams!$B$4:$B$13,MATCH(G8,Teams!$A$4:$A$13,0))-SUMIFS($H$4:$H$503,$G$4:$G$503,G8,$F$4:$F$503,"SOLD",$A$4:$A$503,"&lt;&gt;"&amp;A8),"OVER BUDGET","OK"),"INVALID TEAM"))))</f>
        <v/>
      </c>
      <c r="K8" s="1" t="str">
        <f>IF(F8="SOLD",COUNTIF($F$4:F8,"SOLD"),"")</f>
        <v/>
      </c>
      <c r="L8" s="1" t="str">
        <f>IF(F8="UNSOLD",COUNTIF($F$4:F8,"UNSOLD"),"")</f>
        <v/>
      </c>
      <c r="M8" s="1" t="str">
        <f>IF(AND(F8="SOLD",G8='Team View'!$B$3),COUNTIFS($F$4:F8,"SOLD",$G$4:G8,'Team View'!$B$3),"")</f>
        <v/>
      </c>
    </row>
    <row r="9" spans="1:13">
      <c r="A9" s="1" t="str">
        <f t="shared" si="0"/>
        <v/>
      </c>
      <c r="B9" s="1"/>
      <c r="C9" s="1"/>
      <c r="D9" s="1"/>
      <c r="E9" s="7"/>
      <c r="F9" s="1"/>
      <c r="G9" s="1"/>
      <c r="H9" s="7"/>
      <c r="I9" s="1"/>
      <c r="J9" s="1" t="str">
        <f>IF(B9="","",IF(F9&lt;&gt;"SOLD","",IF(OR(G9="",H9=""),"SELECT TEAM &amp; PRICE",IFERROR(IF(H9&gt;INDEX(Teams!$B$4:$B$13,MATCH(G9,Teams!$A$4:$A$13,0))-SUMIFS($H$4:$H$503,$G$4:$G$503,G9,$F$4:$F$503,"SOLD",$A$4:$A$503,"&lt;&gt;"&amp;A9),"OVER BUDGET","OK"),"INVALID TEAM"))))</f>
        <v/>
      </c>
      <c r="K9" s="1" t="str">
        <f>IF(F9="SOLD",COUNTIF($F$4:F9,"SOLD"),"")</f>
        <v/>
      </c>
      <c r="L9" s="1" t="str">
        <f>IF(F9="UNSOLD",COUNTIF($F$4:F9,"UNSOLD"),"")</f>
        <v/>
      </c>
      <c r="M9" s="1" t="str">
        <f>IF(AND(F9="SOLD",G9='Team View'!$B$3),COUNTIFS($F$4:F9,"SOLD",$G$4:G9,'Team View'!$B$3),"")</f>
        <v/>
      </c>
    </row>
    <row r="10" spans="1:13">
      <c r="A10" s="1" t="str">
        <f t="shared" si="0"/>
        <v/>
      </c>
      <c r="B10" s="1"/>
      <c r="C10" s="1"/>
      <c r="D10" s="1"/>
      <c r="E10" s="7"/>
      <c r="F10" s="1"/>
      <c r="G10" s="1"/>
      <c r="H10" s="7"/>
      <c r="I10" s="1"/>
      <c r="J10" s="1" t="str">
        <f>IF(B10="","",IF(F10&lt;&gt;"SOLD","",IF(OR(G10="",H10=""),"SELECT TEAM &amp; PRICE",IFERROR(IF(H10&gt;INDEX(Teams!$B$4:$B$13,MATCH(G10,Teams!$A$4:$A$13,0))-SUMIFS($H$4:$H$503,$G$4:$G$503,G10,$F$4:$F$503,"SOLD",$A$4:$A$503,"&lt;&gt;"&amp;A10),"OVER BUDGET","OK"),"INVALID TEAM"))))</f>
        <v/>
      </c>
      <c r="K10" s="1" t="str">
        <f>IF(F10="SOLD",COUNTIF($F$4:F10,"SOLD"),"")</f>
        <v/>
      </c>
      <c r="L10" s="1" t="str">
        <f>IF(F10="UNSOLD",COUNTIF($F$4:F10,"UNSOLD"),"")</f>
        <v/>
      </c>
      <c r="M10" s="1" t="str">
        <f>IF(AND(F10="SOLD",G10='Team View'!$B$3),COUNTIFS($F$4:F10,"SOLD",$G$4:G10,'Team View'!$B$3),"")</f>
        <v/>
      </c>
    </row>
    <row r="11" spans="1:13">
      <c r="A11" s="1" t="str">
        <f t="shared" si="0"/>
        <v/>
      </c>
      <c r="B11" s="1"/>
      <c r="C11" s="1"/>
      <c r="D11" s="1"/>
      <c r="E11" s="7"/>
      <c r="F11" s="1"/>
      <c r="G11" s="1"/>
      <c r="H11" s="7"/>
      <c r="I11" s="1"/>
      <c r="J11" s="1" t="str">
        <f>IF(B11="","",IF(F11&lt;&gt;"SOLD","",IF(OR(G11="",H11=""),"SELECT TEAM &amp; PRICE",IFERROR(IF(H11&gt;INDEX(Teams!$B$4:$B$13,MATCH(G11,Teams!$A$4:$A$13,0))-SUMIFS($H$4:$H$503,$G$4:$G$503,G11,$F$4:$F$503,"SOLD",$A$4:$A$503,"&lt;&gt;"&amp;A11),"OVER BUDGET","OK"),"INVALID TEAM"))))</f>
        <v/>
      </c>
      <c r="K11" s="1" t="str">
        <f>IF(F11="SOLD",COUNTIF($F$4:F11,"SOLD"),"")</f>
        <v/>
      </c>
      <c r="L11" s="1" t="str">
        <f>IF(F11="UNSOLD",COUNTIF($F$4:F11,"UNSOLD"),"")</f>
        <v/>
      </c>
      <c r="M11" s="1" t="str">
        <f>IF(AND(F11="SOLD",G11='Team View'!$B$3),COUNTIFS($F$4:F11,"SOLD",$G$4:G11,'Team View'!$B$3),"")</f>
        <v/>
      </c>
    </row>
    <row r="12" spans="1:13">
      <c r="A12" s="1" t="str">
        <f t="shared" si="0"/>
        <v/>
      </c>
      <c r="B12" s="1"/>
      <c r="C12" s="1"/>
      <c r="D12" s="1"/>
      <c r="E12" s="7"/>
      <c r="F12" s="1"/>
      <c r="G12" s="1"/>
      <c r="H12" s="7"/>
      <c r="I12" s="1"/>
      <c r="J12" s="1" t="str">
        <f>IF(B12="","",IF(F12&lt;&gt;"SOLD","",IF(OR(G12="",H12=""),"SELECT TEAM &amp; PRICE",IFERROR(IF(H12&gt;INDEX(Teams!$B$4:$B$13,MATCH(G12,Teams!$A$4:$A$13,0))-SUMIFS($H$4:$H$503,$G$4:$G$503,G12,$F$4:$F$503,"SOLD",$A$4:$A$503,"&lt;&gt;"&amp;A12),"OVER BUDGET","OK"),"INVALID TEAM"))))</f>
        <v/>
      </c>
      <c r="K12" s="1" t="str">
        <f>IF(F12="SOLD",COUNTIF($F$4:F12,"SOLD"),"")</f>
        <v/>
      </c>
      <c r="L12" s="1" t="str">
        <f>IF(F12="UNSOLD",COUNTIF($F$4:F12,"UNSOLD"),"")</f>
        <v/>
      </c>
      <c r="M12" s="1" t="str">
        <f>IF(AND(F12="SOLD",G12='Team View'!$B$3),COUNTIFS($F$4:F12,"SOLD",$G$4:G12,'Team View'!$B$3),"")</f>
        <v/>
      </c>
    </row>
    <row r="13" spans="1:13">
      <c r="A13" s="1" t="str">
        <f t="shared" si="0"/>
        <v/>
      </c>
      <c r="B13" s="1"/>
      <c r="C13" s="1"/>
      <c r="D13" s="1"/>
      <c r="E13" s="7"/>
      <c r="F13" s="1"/>
      <c r="G13" s="1"/>
      <c r="H13" s="7"/>
      <c r="I13" s="1"/>
      <c r="J13" s="1" t="str">
        <f>IF(B13="","",IF(F13&lt;&gt;"SOLD","",IF(OR(G13="",H13=""),"SELECT TEAM &amp; PRICE",IFERROR(IF(H13&gt;INDEX(Teams!$B$4:$B$13,MATCH(G13,Teams!$A$4:$A$13,0))-SUMIFS($H$4:$H$503,$G$4:$G$503,G13,$F$4:$F$503,"SOLD",$A$4:$A$503,"&lt;&gt;"&amp;A13),"OVER BUDGET","OK"),"INVALID TEAM"))))</f>
        <v/>
      </c>
      <c r="K13" s="1" t="str">
        <f>IF(F13="SOLD",COUNTIF($F$4:F13,"SOLD"),"")</f>
        <v/>
      </c>
      <c r="L13" s="1" t="str">
        <f>IF(F13="UNSOLD",COUNTIF($F$4:F13,"UNSOLD"),"")</f>
        <v/>
      </c>
      <c r="M13" s="1" t="str">
        <f>IF(AND(F13="SOLD",G13='Team View'!$B$3),COUNTIFS($F$4:F13,"SOLD",$G$4:G13,'Team View'!$B$3),"")</f>
        <v/>
      </c>
    </row>
    <row r="14" spans="1:13">
      <c r="A14" s="1" t="str">
        <f t="shared" si="0"/>
        <v/>
      </c>
      <c r="B14" s="1"/>
      <c r="C14" s="1"/>
      <c r="D14" s="1"/>
      <c r="E14" s="7"/>
      <c r="F14" s="1"/>
      <c r="G14" s="1"/>
      <c r="H14" s="7"/>
      <c r="I14" s="1"/>
      <c r="J14" s="1" t="str">
        <f>IF(B14="","",IF(F14&lt;&gt;"SOLD","",IF(OR(G14="",H14=""),"SELECT TEAM &amp; PRICE",IFERROR(IF(H14&gt;INDEX(Teams!$B$4:$B$13,MATCH(G14,Teams!$A$4:$A$13,0))-SUMIFS($H$4:$H$503,$G$4:$G$503,G14,$F$4:$F$503,"SOLD",$A$4:$A$503,"&lt;&gt;"&amp;A14),"OVER BUDGET","OK"),"INVALID TEAM"))))</f>
        <v/>
      </c>
      <c r="K14" s="1" t="str">
        <f>IF(F14="SOLD",COUNTIF($F$4:F14,"SOLD"),"")</f>
        <v/>
      </c>
      <c r="L14" s="1" t="str">
        <f>IF(F14="UNSOLD",COUNTIF($F$4:F14,"UNSOLD"),"")</f>
        <v/>
      </c>
      <c r="M14" s="1" t="str">
        <f>IF(AND(F14="SOLD",G14='Team View'!$B$3),COUNTIFS($F$4:F14,"SOLD",$G$4:G14,'Team View'!$B$3),"")</f>
        <v/>
      </c>
    </row>
    <row r="15" spans="1:13">
      <c r="A15" s="1" t="str">
        <f t="shared" si="0"/>
        <v/>
      </c>
      <c r="B15" s="1"/>
      <c r="C15" s="1"/>
      <c r="D15" s="1"/>
      <c r="E15" s="7"/>
      <c r="F15" s="1"/>
      <c r="G15" s="1"/>
      <c r="H15" s="7"/>
      <c r="I15" s="1"/>
      <c r="J15" s="1" t="str">
        <f>IF(B15="","",IF(F15&lt;&gt;"SOLD","",IF(OR(G15="",H15=""),"SELECT TEAM &amp; PRICE",IFERROR(IF(H15&gt;INDEX(Teams!$B$4:$B$13,MATCH(G15,Teams!$A$4:$A$13,0))-SUMIFS($H$4:$H$503,$G$4:$G$503,G15,$F$4:$F$503,"SOLD",$A$4:$A$503,"&lt;&gt;"&amp;A15),"OVER BUDGET","OK"),"INVALID TEAM"))))</f>
        <v/>
      </c>
      <c r="K15" s="1" t="str">
        <f>IF(F15="SOLD",COUNTIF($F$4:F15,"SOLD"),"")</f>
        <v/>
      </c>
      <c r="L15" s="1" t="str">
        <f>IF(F15="UNSOLD",COUNTIF($F$4:F15,"UNSOLD"),"")</f>
        <v/>
      </c>
      <c r="M15" s="1" t="str">
        <f>IF(AND(F15="SOLD",G15='Team View'!$B$3),COUNTIFS($F$4:F15,"SOLD",$G$4:G15,'Team View'!$B$3),"")</f>
        <v/>
      </c>
    </row>
    <row r="16" spans="1:13">
      <c r="A16" s="1" t="str">
        <f t="shared" si="0"/>
        <v/>
      </c>
      <c r="B16" s="1"/>
      <c r="C16" s="1"/>
      <c r="D16" s="1"/>
      <c r="E16" s="7"/>
      <c r="F16" s="1"/>
      <c r="G16" s="1"/>
      <c r="H16" s="7"/>
      <c r="I16" s="1"/>
      <c r="J16" s="1" t="str">
        <f>IF(B16="","",IF(F16&lt;&gt;"SOLD","",IF(OR(G16="",H16=""),"SELECT TEAM &amp; PRICE",IFERROR(IF(H16&gt;INDEX(Teams!$B$4:$B$13,MATCH(G16,Teams!$A$4:$A$13,0))-SUMIFS($H$4:$H$503,$G$4:$G$503,G16,$F$4:$F$503,"SOLD",$A$4:$A$503,"&lt;&gt;"&amp;A16),"OVER BUDGET","OK"),"INVALID TEAM"))))</f>
        <v/>
      </c>
      <c r="K16" s="1" t="str">
        <f>IF(F16="SOLD",COUNTIF($F$4:F16,"SOLD"),"")</f>
        <v/>
      </c>
      <c r="L16" s="1" t="str">
        <f>IF(F16="UNSOLD",COUNTIF($F$4:F16,"UNSOLD"),"")</f>
        <v/>
      </c>
      <c r="M16" s="1" t="str">
        <f>IF(AND(F16="SOLD",G16='Team View'!$B$3),COUNTIFS($F$4:F16,"SOLD",$G$4:G16,'Team View'!$B$3),"")</f>
        <v/>
      </c>
    </row>
    <row r="17" spans="1:13">
      <c r="A17" s="1" t="str">
        <f t="shared" si="0"/>
        <v/>
      </c>
      <c r="B17" s="1"/>
      <c r="C17" s="1"/>
      <c r="D17" s="1"/>
      <c r="E17" s="7"/>
      <c r="F17" s="1"/>
      <c r="G17" s="1"/>
      <c r="H17" s="7"/>
      <c r="I17" s="1"/>
      <c r="J17" s="1" t="str">
        <f>IF(B17="","",IF(F17&lt;&gt;"SOLD","",IF(OR(G17="",H17=""),"SELECT TEAM &amp; PRICE",IFERROR(IF(H17&gt;INDEX(Teams!$B$4:$B$13,MATCH(G17,Teams!$A$4:$A$13,0))-SUMIFS($H$4:$H$503,$G$4:$G$503,G17,$F$4:$F$503,"SOLD",$A$4:$A$503,"&lt;&gt;"&amp;A17),"OVER BUDGET","OK"),"INVALID TEAM"))))</f>
        <v/>
      </c>
      <c r="K17" s="1" t="str">
        <f>IF(F17="SOLD",COUNTIF($F$4:F17,"SOLD"),"")</f>
        <v/>
      </c>
      <c r="L17" s="1" t="str">
        <f>IF(F17="UNSOLD",COUNTIF($F$4:F17,"UNSOLD"),"")</f>
        <v/>
      </c>
      <c r="M17" s="1" t="str">
        <f>IF(AND(F17="SOLD",G17='Team View'!$B$3),COUNTIFS($F$4:F17,"SOLD",$G$4:G17,'Team View'!$B$3),"")</f>
        <v/>
      </c>
    </row>
    <row r="18" spans="1:13">
      <c r="A18" s="1" t="str">
        <f t="shared" si="0"/>
        <v/>
      </c>
      <c r="B18" s="1"/>
      <c r="C18" s="1"/>
      <c r="D18" s="1"/>
      <c r="E18" s="7"/>
      <c r="F18" s="1"/>
      <c r="G18" s="1"/>
      <c r="H18" s="7"/>
      <c r="I18" s="1"/>
      <c r="J18" s="1" t="str">
        <f>IF(B18="","",IF(F18&lt;&gt;"SOLD","",IF(OR(G18="",H18=""),"SELECT TEAM &amp; PRICE",IFERROR(IF(H18&gt;INDEX(Teams!$B$4:$B$13,MATCH(G18,Teams!$A$4:$A$13,0))-SUMIFS($H$4:$H$503,$G$4:$G$503,G18,$F$4:$F$503,"SOLD",$A$4:$A$503,"&lt;&gt;"&amp;A18),"OVER BUDGET","OK"),"INVALID TEAM"))))</f>
        <v/>
      </c>
      <c r="K18" s="1" t="str">
        <f>IF(F18="SOLD",COUNTIF($F$4:F18,"SOLD"),"")</f>
        <v/>
      </c>
      <c r="L18" s="1" t="str">
        <f>IF(F18="UNSOLD",COUNTIF($F$4:F18,"UNSOLD"),"")</f>
        <v/>
      </c>
      <c r="M18" s="1" t="str">
        <f>IF(AND(F18="SOLD",G18='Team View'!$B$3),COUNTIFS($F$4:F18,"SOLD",$G$4:G18,'Team View'!$B$3),"")</f>
        <v/>
      </c>
    </row>
    <row r="19" spans="1:13">
      <c r="A19" s="1" t="str">
        <f t="shared" si="0"/>
        <v/>
      </c>
      <c r="B19" s="1"/>
      <c r="C19" s="1"/>
      <c r="D19" s="1"/>
      <c r="E19" s="7"/>
      <c r="F19" s="1"/>
      <c r="G19" s="1"/>
      <c r="H19" s="7"/>
      <c r="I19" s="1"/>
      <c r="J19" s="1" t="str">
        <f>IF(B19="","",IF(F19&lt;&gt;"SOLD","",IF(OR(G19="",H19=""),"SELECT TEAM &amp; PRICE",IFERROR(IF(H19&gt;INDEX(Teams!$B$4:$B$13,MATCH(G19,Teams!$A$4:$A$13,0))-SUMIFS($H$4:$H$503,$G$4:$G$503,G19,$F$4:$F$503,"SOLD",$A$4:$A$503,"&lt;&gt;"&amp;A19),"OVER BUDGET","OK"),"INVALID TEAM"))))</f>
        <v/>
      </c>
      <c r="K19" s="1" t="str">
        <f>IF(F19="SOLD",COUNTIF($F$4:F19,"SOLD"),"")</f>
        <v/>
      </c>
      <c r="L19" s="1" t="str">
        <f>IF(F19="UNSOLD",COUNTIF($F$4:F19,"UNSOLD"),"")</f>
        <v/>
      </c>
      <c r="M19" s="1" t="str">
        <f>IF(AND(F19="SOLD",G19='Team View'!$B$3),COUNTIFS($F$4:F19,"SOLD",$G$4:G19,'Team View'!$B$3),"")</f>
        <v/>
      </c>
    </row>
    <row r="20" spans="1:13">
      <c r="A20" s="1" t="str">
        <f t="shared" si="0"/>
        <v/>
      </c>
      <c r="B20" s="1"/>
      <c r="C20" s="1"/>
      <c r="D20" s="1"/>
      <c r="E20" s="7"/>
      <c r="F20" s="1"/>
      <c r="G20" s="1"/>
      <c r="H20" s="7"/>
      <c r="I20" s="1"/>
      <c r="J20" s="1" t="str">
        <f>IF(B20="","",IF(F20&lt;&gt;"SOLD","",IF(OR(G20="",H20=""),"SELECT TEAM &amp; PRICE",IFERROR(IF(H20&gt;INDEX(Teams!$B$4:$B$13,MATCH(G20,Teams!$A$4:$A$13,0))-SUMIFS($H$4:$H$503,$G$4:$G$503,G20,$F$4:$F$503,"SOLD",$A$4:$A$503,"&lt;&gt;"&amp;A20),"OVER BUDGET","OK"),"INVALID TEAM"))))</f>
        <v/>
      </c>
      <c r="K20" s="1" t="str">
        <f>IF(F20="SOLD",COUNTIF($F$4:F20,"SOLD"),"")</f>
        <v/>
      </c>
      <c r="L20" s="1" t="str">
        <f>IF(F20="UNSOLD",COUNTIF($F$4:F20,"UNSOLD"),"")</f>
        <v/>
      </c>
      <c r="M20" s="1" t="str">
        <f>IF(AND(F20="SOLD",G20='Team View'!$B$3),COUNTIFS($F$4:F20,"SOLD",$G$4:G20,'Team View'!$B$3),"")</f>
        <v/>
      </c>
    </row>
    <row r="21" spans="1:13">
      <c r="A21" s="1" t="str">
        <f t="shared" si="0"/>
        <v/>
      </c>
      <c r="B21" s="1"/>
      <c r="C21" s="1"/>
      <c r="D21" s="1"/>
      <c r="E21" s="7"/>
      <c r="F21" s="1"/>
      <c r="G21" s="1"/>
      <c r="H21" s="7"/>
      <c r="I21" s="1"/>
      <c r="J21" s="1" t="str">
        <f>IF(B21="","",IF(F21&lt;&gt;"SOLD","",IF(OR(G21="",H21=""),"SELECT TEAM &amp; PRICE",IFERROR(IF(H21&gt;INDEX(Teams!$B$4:$B$13,MATCH(G21,Teams!$A$4:$A$13,0))-SUMIFS($H$4:$H$503,$G$4:$G$503,G21,$F$4:$F$503,"SOLD",$A$4:$A$503,"&lt;&gt;"&amp;A21),"OVER BUDGET","OK"),"INVALID TEAM"))))</f>
        <v/>
      </c>
      <c r="K21" s="1" t="str">
        <f>IF(F21="SOLD",COUNTIF($F$4:F21,"SOLD"),"")</f>
        <v/>
      </c>
      <c r="L21" s="1" t="str">
        <f>IF(F21="UNSOLD",COUNTIF($F$4:F21,"UNSOLD"),"")</f>
        <v/>
      </c>
      <c r="M21" s="1" t="str">
        <f>IF(AND(F21="SOLD",G21='Team View'!$B$3),COUNTIFS($F$4:F21,"SOLD",$G$4:G21,'Team View'!$B$3),"")</f>
        <v/>
      </c>
    </row>
    <row r="22" spans="1:13">
      <c r="A22" s="1" t="str">
        <f t="shared" si="0"/>
        <v/>
      </c>
      <c r="B22" s="1"/>
      <c r="C22" s="1"/>
      <c r="D22" s="1"/>
      <c r="E22" s="7"/>
      <c r="F22" s="1"/>
      <c r="G22" s="1"/>
      <c r="H22" s="7"/>
      <c r="I22" s="1"/>
      <c r="J22" s="1" t="str">
        <f>IF(B22="","",IF(F22&lt;&gt;"SOLD","",IF(OR(G22="",H22=""),"SELECT TEAM &amp; PRICE",IFERROR(IF(H22&gt;INDEX(Teams!$B$4:$B$13,MATCH(G22,Teams!$A$4:$A$13,0))-SUMIFS($H$4:$H$503,$G$4:$G$503,G22,$F$4:$F$503,"SOLD",$A$4:$A$503,"&lt;&gt;"&amp;A22),"OVER BUDGET","OK"),"INVALID TEAM"))))</f>
        <v/>
      </c>
      <c r="K22" s="1" t="str">
        <f>IF(F22="SOLD",COUNTIF($F$4:F22,"SOLD"),"")</f>
        <v/>
      </c>
      <c r="L22" s="1" t="str">
        <f>IF(F22="UNSOLD",COUNTIF($F$4:F22,"UNSOLD"),"")</f>
        <v/>
      </c>
      <c r="M22" s="1" t="str">
        <f>IF(AND(F22="SOLD",G22='Team View'!$B$3),COUNTIFS($F$4:F22,"SOLD",$G$4:G22,'Team View'!$B$3),"")</f>
        <v/>
      </c>
    </row>
    <row r="23" spans="1:13">
      <c r="A23" s="1" t="str">
        <f t="shared" si="0"/>
        <v/>
      </c>
      <c r="B23" s="1"/>
      <c r="C23" s="1"/>
      <c r="D23" s="1"/>
      <c r="E23" s="7"/>
      <c r="F23" s="1"/>
      <c r="G23" s="1"/>
      <c r="H23" s="7"/>
      <c r="I23" s="1"/>
      <c r="J23" s="1" t="str">
        <f>IF(B23="","",IF(F23&lt;&gt;"SOLD","",IF(OR(G23="",H23=""),"SELECT TEAM &amp; PRICE",IFERROR(IF(H23&gt;INDEX(Teams!$B$4:$B$13,MATCH(G23,Teams!$A$4:$A$13,0))-SUMIFS($H$4:$H$503,$G$4:$G$503,G23,$F$4:$F$503,"SOLD",$A$4:$A$503,"&lt;&gt;"&amp;A23),"OVER BUDGET","OK"),"INVALID TEAM"))))</f>
        <v/>
      </c>
      <c r="K23" s="1" t="str">
        <f>IF(F23="SOLD",COUNTIF($F$4:F23,"SOLD"),"")</f>
        <v/>
      </c>
      <c r="L23" s="1" t="str">
        <f>IF(F23="UNSOLD",COUNTIF($F$4:F23,"UNSOLD"),"")</f>
        <v/>
      </c>
      <c r="M23" s="1" t="str">
        <f>IF(AND(F23="SOLD",G23='Team View'!$B$3),COUNTIFS($F$4:F23,"SOLD",$G$4:G23,'Team View'!$B$3),"")</f>
        <v/>
      </c>
    </row>
    <row r="24" spans="1:13">
      <c r="A24" s="1" t="str">
        <f t="shared" si="0"/>
        <v/>
      </c>
      <c r="B24" s="1"/>
      <c r="C24" s="1"/>
      <c r="D24" s="1"/>
      <c r="E24" s="7"/>
      <c r="F24" s="1"/>
      <c r="G24" s="1"/>
      <c r="H24" s="7"/>
      <c r="I24" s="1"/>
      <c r="J24" s="1" t="str">
        <f>IF(B24="","",IF(F24&lt;&gt;"SOLD","",IF(OR(G24="",H24=""),"SELECT TEAM &amp; PRICE",IFERROR(IF(H24&gt;INDEX(Teams!$B$4:$B$13,MATCH(G24,Teams!$A$4:$A$13,0))-SUMIFS($H$4:$H$503,$G$4:$G$503,G24,$F$4:$F$503,"SOLD",$A$4:$A$503,"&lt;&gt;"&amp;A24),"OVER BUDGET","OK"),"INVALID TEAM"))))</f>
        <v/>
      </c>
      <c r="K24" s="1" t="str">
        <f>IF(F24="SOLD",COUNTIF($F$4:F24,"SOLD"),"")</f>
        <v/>
      </c>
      <c r="L24" s="1" t="str">
        <f>IF(F24="UNSOLD",COUNTIF($F$4:F24,"UNSOLD"),"")</f>
        <v/>
      </c>
      <c r="M24" s="1" t="str">
        <f>IF(AND(F24="SOLD",G24='Team View'!$B$3),COUNTIFS($F$4:F24,"SOLD",$G$4:G24,'Team View'!$B$3),"")</f>
        <v/>
      </c>
    </row>
    <row r="25" spans="1:13">
      <c r="A25" s="1" t="str">
        <f t="shared" si="0"/>
        <v/>
      </c>
      <c r="B25" s="1"/>
      <c r="C25" s="1"/>
      <c r="D25" s="1"/>
      <c r="E25" s="7"/>
      <c r="F25" s="1"/>
      <c r="G25" s="1"/>
      <c r="H25" s="7"/>
      <c r="I25" s="1"/>
      <c r="J25" s="1" t="str">
        <f>IF(B25="","",IF(F25&lt;&gt;"SOLD","",IF(OR(G25="",H25=""),"SELECT TEAM &amp; PRICE",IFERROR(IF(H25&gt;INDEX(Teams!$B$4:$B$13,MATCH(G25,Teams!$A$4:$A$13,0))-SUMIFS($H$4:$H$503,$G$4:$G$503,G25,$F$4:$F$503,"SOLD",$A$4:$A$503,"&lt;&gt;"&amp;A25),"OVER BUDGET","OK"),"INVALID TEAM"))))</f>
        <v/>
      </c>
      <c r="K25" s="1" t="str">
        <f>IF(F25="SOLD",COUNTIF($F$4:F25,"SOLD"),"")</f>
        <v/>
      </c>
      <c r="L25" s="1" t="str">
        <f>IF(F25="UNSOLD",COUNTIF($F$4:F25,"UNSOLD"),"")</f>
        <v/>
      </c>
      <c r="M25" s="1" t="str">
        <f>IF(AND(F25="SOLD",G25='Team View'!$B$3),COUNTIFS($F$4:F25,"SOLD",$G$4:G25,'Team View'!$B$3),"")</f>
        <v/>
      </c>
    </row>
    <row r="26" spans="1:13">
      <c r="A26" s="1" t="str">
        <f t="shared" si="0"/>
        <v/>
      </c>
      <c r="B26" s="1"/>
      <c r="C26" s="1"/>
      <c r="D26" s="1"/>
      <c r="E26" s="7"/>
      <c r="F26" s="1"/>
      <c r="G26" s="1"/>
      <c r="H26" s="7"/>
      <c r="I26" s="1"/>
      <c r="J26" s="1" t="str">
        <f>IF(B26="","",IF(F26&lt;&gt;"SOLD","",IF(OR(G26="",H26=""),"SELECT TEAM &amp; PRICE",IFERROR(IF(H26&gt;INDEX(Teams!$B$4:$B$13,MATCH(G26,Teams!$A$4:$A$13,0))-SUMIFS($H$4:$H$503,$G$4:$G$503,G26,$F$4:$F$503,"SOLD",$A$4:$A$503,"&lt;&gt;"&amp;A26),"OVER BUDGET","OK"),"INVALID TEAM"))))</f>
        <v/>
      </c>
      <c r="K26" s="1" t="str">
        <f>IF(F26="SOLD",COUNTIF($F$4:F26,"SOLD"),"")</f>
        <v/>
      </c>
      <c r="L26" s="1" t="str">
        <f>IF(F26="UNSOLD",COUNTIF($F$4:F26,"UNSOLD"),"")</f>
        <v/>
      </c>
      <c r="M26" s="1" t="str">
        <f>IF(AND(F26="SOLD",G26='Team View'!$B$3),COUNTIFS($F$4:F26,"SOLD",$G$4:G26,'Team View'!$B$3),"")</f>
        <v/>
      </c>
    </row>
    <row r="27" spans="1:13">
      <c r="A27" s="1" t="str">
        <f t="shared" si="0"/>
        <v/>
      </c>
      <c r="B27" s="1"/>
      <c r="C27" s="1"/>
      <c r="D27" s="1"/>
      <c r="E27" s="7"/>
      <c r="F27" s="1"/>
      <c r="G27" s="1"/>
      <c r="H27" s="7"/>
      <c r="I27" s="1"/>
      <c r="J27" s="1" t="str">
        <f>IF(B27="","",IF(F27&lt;&gt;"SOLD","",IF(OR(G27="",H27=""),"SELECT TEAM &amp; PRICE",IFERROR(IF(H27&gt;INDEX(Teams!$B$4:$B$13,MATCH(G27,Teams!$A$4:$A$13,0))-SUMIFS($H$4:$H$503,$G$4:$G$503,G27,$F$4:$F$503,"SOLD",$A$4:$A$503,"&lt;&gt;"&amp;A27),"OVER BUDGET","OK"),"INVALID TEAM"))))</f>
        <v/>
      </c>
      <c r="K27" s="1" t="str">
        <f>IF(F27="SOLD",COUNTIF($F$4:F27,"SOLD"),"")</f>
        <v/>
      </c>
      <c r="L27" s="1" t="str">
        <f>IF(F27="UNSOLD",COUNTIF($F$4:F27,"UNSOLD"),"")</f>
        <v/>
      </c>
      <c r="M27" s="1" t="str">
        <f>IF(AND(F27="SOLD",G27='Team View'!$B$3),COUNTIFS($F$4:F27,"SOLD",$G$4:G27,'Team View'!$B$3),"")</f>
        <v/>
      </c>
    </row>
    <row r="28" spans="1:13">
      <c r="A28" s="1" t="str">
        <f t="shared" si="0"/>
        <v/>
      </c>
      <c r="B28" s="1"/>
      <c r="C28" s="1"/>
      <c r="D28" s="1"/>
      <c r="E28" s="7"/>
      <c r="F28" s="1"/>
      <c r="G28" s="1"/>
      <c r="H28" s="7"/>
      <c r="I28" s="1"/>
      <c r="J28" s="1" t="str">
        <f>IF(B28="","",IF(F28&lt;&gt;"SOLD","",IF(OR(G28="",H28=""),"SELECT TEAM &amp; PRICE",IFERROR(IF(H28&gt;INDEX(Teams!$B$4:$B$13,MATCH(G28,Teams!$A$4:$A$13,0))-SUMIFS($H$4:$H$503,$G$4:$G$503,G28,$F$4:$F$503,"SOLD",$A$4:$A$503,"&lt;&gt;"&amp;A28),"OVER BUDGET","OK"),"INVALID TEAM"))))</f>
        <v/>
      </c>
      <c r="K28" s="1" t="str">
        <f>IF(F28="SOLD",COUNTIF($F$4:F28,"SOLD"),"")</f>
        <v/>
      </c>
      <c r="L28" s="1" t="str">
        <f>IF(F28="UNSOLD",COUNTIF($F$4:F28,"UNSOLD"),"")</f>
        <v/>
      </c>
      <c r="M28" s="1" t="str">
        <f>IF(AND(F28="SOLD",G28='Team View'!$B$3),COUNTIFS($F$4:F28,"SOLD",$G$4:G28,'Team View'!$B$3),"")</f>
        <v/>
      </c>
    </row>
    <row r="29" spans="1:13">
      <c r="A29" s="1" t="str">
        <f t="shared" si="0"/>
        <v/>
      </c>
      <c r="B29" s="1"/>
      <c r="C29" s="1"/>
      <c r="D29" s="1"/>
      <c r="E29" s="7"/>
      <c r="F29" s="1"/>
      <c r="G29" s="1"/>
      <c r="H29" s="7"/>
      <c r="I29" s="1"/>
      <c r="J29" s="1" t="str">
        <f>IF(B29="","",IF(F29&lt;&gt;"SOLD","",IF(OR(G29="",H29=""),"SELECT TEAM &amp; PRICE",IFERROR(IF(H29&gt;INDEX(Teams!$B$4:$B$13,MATCH(G29,Teams!$A$4:$A$13,0))-SUMIFS($H$4:$H$503,$G$4:$G$503,G29,$F$4:$F$503,"SOLD",$A$4:$A$503,"&lt;&gt;"&amp;A29),"OVER BUDGET","OK"),"INVALID TEAM"))))</f>
        <v/>
      </c>
      <c r="K29" s="1" t="str">
        <f>IF(F29="SOLD",COUNTIF($F$4:F29,"SOLD"),"")</f>
        <v/>
      </c>
      <c r="L29" s="1" t="str">
        <f>IF(F29="UNSOLD",COUNTIF($F$4:F29,"UNSOLD"),"")</f>
        <v/>
      </c>
      <c r="M29" s="1" t="str">
        <f>IF(AND(F29="SOLD",G29='Team View'!$B$3),COUNTIFS($F$4:F29,"SOLD",$G$4:G29,'Team View'!$B$3),"")</f>
        <v/>
      </c>
    </row>
    <row r="30" spans="1:13">
      <c r="A30" s="1" t="str">
        <f t="shared" si="0"/>
        <v/>
      </c>
      <c r="B30" s="1"/>
      <c r="C30" s="1"/>
      <c r="D30" s="1"/>
      <c r="E30" s="7"/>
      <c r="F30" s="1"/>
      <c r="G30" s="1"/>
      <c r="H30" s="7"/>
      <c r="I30" s="1"/>
      <c r="J30" s="1" t="str">
        <f>IF(B30="","",IF(F30&lt;&gt;"SOLD","",IF(OR(G30="",H30=""),"SELECT TEAM &amp; PRICE",IFERROR(IF(H30&gt;INDEX(Teams!$B$4:$B$13,MATCH(G30,Teams!$A$4:$A$13,0))-SUMIFS($H$4:$H$503,$G$4:$G$503,G30,$F$4:$F$503,"SOLD",$A$4:$A$503,"&lt;&gt;"&amp;A30),"OVER BUDGET","OK"),"INVALID TEAM"))))</f>
        <v/>
      </c>
      <c r="K30" s="1" t="str">
        <f>IF(F30="SOLD",COUNTIF($F$4:F30,"SOLD"),"")</f>
        <v/>
      </c>
      <c r="L30" s="1" t="str">
        <f>IF(F30="UNSOLD",COUNTIF($F$4:F30,"UNSOLD"),"")</f>
        <v/>
      </c>
      <c r="M30" s="1" t="str">
        <f>IF(AND(F30="SOLD",G30='Team View'!$B$3),COUNTIFS($F$4:F30,"SOLD",$G$4:G30,'Team View'!$B$3),"")</f>
        <v/>
      </c>
    </row>
    <row r="31" spans="1:13">
      <c r="A31" s="1" t="str">
        <f t="shared" si="0"/>
        <v/>
      </c>
      <c r="B31" s="1"/>
      <c r="C31" s="1"/>
      <c r="D31" s="1"/>
      <c r="E31" s="7"/>
      <c r="F31" s="1"/>
      <c r="G31" s="1"/>
      <c r="H31" s="7"/>
      <c r="I31" s="1"/>
      <c r="J31" s="1" t="str">
        <f>IF(B31="","",IF(F31&lt;&gt;"SOLD","",IF(OR(G31="",H31=""),"SELECT TEAM &amp; PRICE",IFERROR(IF(H31&gt;INDEX(Teams!$B$4:$B$13,MATCH(G31,Teams!$A$4:$A$13,0))-SUMIFS($H$4:$H$503,$G$4:$G$503,G31,$F$4:$F$503,"SOLD",$A$4:$A$503,"&lt;&gt;"&amp;A31),"OVER BUDGET","OK"),"INVALID TEAM"))))</f>
        <v/>
      </c>
      <c r="K31" s="1" t="str">
        <f>IF(F31="SOLD",COUNTIF($F$4:F31,"SOLD"),"")</f>
        <v/>
      </c>
      <c r="L31" s="1" t="str">
        <f>IF(F31="UNSOLD",COUNTIF($F$4:F31,"UNSOLD"),"")</f>
        <v/>
      </c>
      <c r="M31" s="1" t="str">
        <f>IF(AND(F31="SOLD",G31='Team View'!$B$3),COUNTIFS($F$4:F31,"SOLD",$G$4:G31,'Team View'!$B$3),"")</f>
        <v/>
      </c>
    </row>
    <row r="32" spans="1:13">
      <c r="A32" s="1" t="str">
        <f t="shared" si="0"/>
        <v/>
      </c>
      <c r="B32" s="1"/>
      <c r="C32" s="1"/>
      <c r="D32" s="1"/>
      <c r="E32" s="7"/>
      <c r="F32" s="1"/>
      <c r="G32" s="1"/>
      <c r="H32" s="7"/>
      <c r="I32" s="1"/>
      <c r="J32" s="1" t="str">
        <f>IF(B32="","",IF(F32&lt;&gt;"SOLD","",IF(OR(G32="",H32=""),"SELECT TEAM &amp; PRICE",IFERROR(IF(H32&gt;INDEX(Teams!$B$4:$B$13,MATCH(G32,Teams!$A$4:$A$13,0))-SUMIFS($H$4:$H$503,$G$4:$G$503,G32,$F$4:$F$503,"SOLD",$A$4:$A$503,"&lt;&gt;"&amp;A32),"OVER BUDGET","OK"),"INVALID TEAM"))))</f>
        <v/>
      </c>
      <c r="K32" s="1" t="str">
        <f>IF(F32="SOLD",COUNTIF($F$4:F32,"SOLD"),"")</f>
        <v/>
      </c>
      <c r="L32" s="1" t="str">
        <f>IF(F32="UNSOLD",COUNTIF($F$4:F32,"UNSOLD"),"")</f>
        <v/>
      </c>
      <c r="M32" s="1" t="str">
        <f>IF(AND(F32="SOLD",G32='Team View'!$B$3),COUNTIFS($F$4:F32,"SOLD",$G$4:G32,'Team View'!$B$3),"")</f>
        <v/>
      </c>
    </row>
    <row r="33" spans="1:13">
      <c r="A33" s="1" t="str">
        <f t="shared" si="0"/>
        <v/>
      </c>
      <c r="B33" s="1"/>
      <c r="C33" s="1"/>
      <c r="D33" s="1"/>
      <c r="E33" s="7"/>
      <c r="F33" s="1"/>
      <c r="G33" s="1"/>
      <c r="H33" s="7"/>
      <c r="I33" s="1"/>
      <c r="J33" s="1" t="str">
        <f>IF(B33="","",IF(F33&lt;&gt;"SOLD","",IF(OR(G33="",H33=""),"SELECT TEAM &amp; PRICE",IFERROR(IF(H33&gt;INDEX(Teams!$B$4:$B$13,MATCH(G33,Teams!$A$4:$A$13,0))-SUMIFS($H$4:$H$503,$G$4:$G$503,G33,$F$4:$F$503,"SOLD",$A$4:$A$503,"&lt;&gt;"&amp;A33),"OVER BUDGET","OK"),"INVALID TEAM"))))</f>
        <v/>
      </c>
      <c r="K33" s="1" t="str">
        <f>IF(F33="SOLD",COUNTIF($F$4:F33,"SOLD"),"")</f>
        <v/>
      </c>
      <c r="L33" s="1" t="str">
        <f>IF(F33="UNSOLD",COUNTIF($F$4:F33,"UNSOLD"),"")</f>
        <v/>
      </c>
      <c r="M33" s="1" t="str">
        <f>IF(AND(F33="SOLD",G33='Team View'!$B$3),COUNTIFS($F$4:F33,"SOLD",$G$4:G33,'Team View'!$B$3),"")</f>
        <v/>
      </c>
    </row>
    <row r="34" spans="1:13">
      <c r="A34" s="1" t="str">
        <f t="shared" si="0"/>
        <v/>
      </c>
      <c r="B34" s="1"/>
      <c r="C34" s="1"/>
      <c r="D34" s="1"/>
      <c r="E34" s="7"/>
      <c r="F34" s="1"/>
      <c r="G34" s="1"/>
      <c r="H34" s="7"/>
      <c r="I34" s="1"/>
      <c r="J34" s="1" t="str">
        <f>IF(B34="","",IF(F34&lt;&gt;"SOLD","",IF(OR(G34="",H34=""),"SELECT TEAM &amp; PRICE",IFERROR(IF(H34&gt;INDEX(Teams!$B$4:$B$13,MATCH(G34,Teams!$A$4:$A$13,0))-SUMIFS($H$4:$H$503,$G$4:$G$503,G34,$F$4:$F$503,"SOLD",$A$4:$A$503,"&lt;&gt;"&amp;A34),"OVER BUDGET","OK"),"INVALID TEAM"))))</f>
        <v/>
      </c>
      <c r="K34" s="1" t="str">
        <f>IF(F34="SOLD",COUNTIF($F$4:F34,"SOLD"),"")</f>
        <v/>
      </c>
      <c r="L34" s="1" t="str">
        <f>IF(F34="UNSOLD",COUNTIF($F$4:F34,"UNSOLD"),"")</f>
        <v/>
      </c>
      <c r="M34" s="1" t="str">
        <f>IF(AND(F34="SOLD",G34='Team View'!$B$3),COUNTIFS($F$4:F34,"SOLD",$G$4:G34,'Team View'!$B$3),"")</f>
        <v/>
      </c>
    </row>
    <row r="35" spans="1:13">
      <c r="A35" s="1" t="str">
        <f t="shared" si="0"/>
        <v/>
      </c>
      <c r="B35" s="1"/>
      <c r="C35" s="1"/>
      <c r="D35" s="1"/>
      <c r="E35" s="7"/>
      <c r="F35" s="1"/>
      <c r="G35" s="1"/>
      <c r="H35" s="7"/>
      <c r="I35" s="1"/>
      <c r="J35" s="1" t="str">
        <f>IF(B35="","",IF(F35&lt;&gt;"SOLD","",IF(OR(G35="",H35=""),"SELECT TEAM &amp; PRICE",IFERROR(IF(H35&gt;INDEX(Teams!$B$4:$B$13,MATCH(G35,Teams!$A$4:$A$13,0))-SUMIFS($H$4:$H$503,$G$4:$G$503,G35,$F$4:$F$503,"SOLD",$A$4:$A$503,"&lt;&gt;"&amp;A35),"OVER BUDGET","OK"),"INVALID TEAM"))))</f>
        <v/>
      </c>
      <c r="K35" s="1" t="str">
        <f>IF(F35="SOLD",COUNTIF($F$4:F35,"SOLD"),"")</f>
        <v/>
      </c>
      <c r="L35" s="1" t="str">
        <f>IF(F35="UNSOLD",COUNTIF($F$4:F35,"UNSOLD"),"")</f>
        <v/>
      </c>
      <c r="M35" s="1" t="str">
        <f>IF(AND(F35="SOLD",G35='Team View'!$B$3),COUNTIFS($F$4:F35,"SOLD",$G$4:G35,'Team View'!$B$3),"")</f>
        <v/>
      </c>
    </row>
    <row r="36" spans="1:13">
      <c r="A36" s="1" t="str">
        <f t="shared" si="0"/>
        <v/>
      </c>
      <c r="B36" s="1"/>
      <c r="C36" s="1"/>
      <c r="D36" s="1"/>
      <c r="E36" s="7"/>
      <c r="F36" s="1"/>
      <c r="G36" s="1"/>
      <c r="H36" s="7"/>
      <c r="I36" s="1"/>
      <c r="J36" s="1" t="str">
        <f>IF(B36="","",IF(F36&lt;&gt;"SOLD","",IF(OR(G36="",H36=""),"SELECT TEAM &amp; PRICE",IFERROR(IF(H36&gt;INDEX(Teams!$B$4:$B$13,MATCH(G36,Teams!$A$4:$A$13,0))-SUMIFS($H$4:$H$503,$G$4:$G$503,G36,$F$4:$F$503,"SOLD",$A$4:$A$503,"&lt;&gt;"&amp;A36),"OVER BUDGET","OK"),"INVALID TEAM"))))</f>
        <v/>
      </c>
      <c r="K36" s="1" t="str">
        <f>IF(F36="SOLD",COUNTIF($F$4:F36,"SOLD"),"")</f>
        <v/>
      </c>
      <c r="L36" s="1" t="str">
        <f>IF(F36="UNSOLD",COUNTIF($F$4:F36,"UNSOLD"),"")</f>
        <v/>
      </c>
      <c r="M36" s="1" t="str">
        <f>IF(AND(F36="SOLD",G36='Team View'!$B$3),COUNTIFS($F$4:F36,"SOLD",$G$4:G36,'Team View'!$B$3),"")</f>
        <v/>
      </c>
    </row>
    <row r="37" spans="1:13">
      <c r="A37" s="1" t="str">
        <f t="shared" si="0"/>
        <v/>
      </c>
      <c r="B37" s="1"/>
      <c r="C37" s="1"/>
      <c r="D37" s="1"/>
      <c r="E37" s="7"/>
      <c r="F37" s="1"/>
      <c r="G37" s="1"/>
      <c r="H37" s="7"/>
      <c r="I37" s="1"/>
      <c r="J37" s="1" t="str">
        <f>IF(B37="","",IF(F37&lt;&gt;"SOLD","",IF(OR(G37="",H37=""),"SELECT TEAM &amp; PRICE",IFERROR(IF(H37&gt;INDEX(Teams!$B$4:$B$13,MATCH(G37,Teams!$A$4:$A$13,0))-SUMIFS($H$4:$H$503,$G$4:$G$503,G37,$F$4:$F$503,"SOLD",$A$4:$A$503,"&lt;&gt;"&amp;A37),"OVER BUDGET","OK"),"INVALID TEAM"))))</f>
        <v/>
      </c>
      <c r="K37" s="1" t="str">
        <f>IF(F37="SOLD",COUNTIF($F$4:F37,"SOLD"),"")</f>
        <v/>
      </c>
      <c r="L37" s="1" t="str">
        <f>IF(F37="UNSOLD",COUNTIF($F$4:F37,"UNSOLD"),"")</f>
        <v/>
      </c>
      <c r="M37" s="1" t="str">
        <f>IF(AND(F37="SOLD",G37='Team View'!$B$3),COUNTIFS($F$4:F37,"SOLD",$G$4:G37,'Team View'!$B$3),"")</f>
        <v/>
      </c>
    </row>
    <row r="38" spans="1:13">
      <c r="A38" s="1" t="str">
        <f t="shared" si="0"/>
        <v/>
      </c>
      <c r="B38" s="1"/>
      <c r="C38" s="1"/>
      <c r="D38" s="1"/>
      <c r="E38" s="7"/>
      <c r="F38" s="1"/>
      <c r="G38" s="1"/>
      <c r="H38" s="7"/>
      <c r="I38" s="1"/>
      <c r="J38" s="1" t="str">
        <f>IF(B38="","",IF(F38&lt;&gt;"SOLD","",IF(OR(G38="",H38=""),"SELECT TEAM &amp; PRICE",IFERROR(IF(H38&gt;INDEX(Teams!$B$4:$B$13,MATCH(G38,Teams!$A$4:$A$13,0))-SUMIFS($H$4:$H$503,$G$4:$G$503,G38,$F$4:$F$503,"SOLD",$A$4:$A$503,"&lt;&gt;"&amp;A38),"OVER BUDGET","OK"),"INVALID TEAM"))))</f>
        <v/>
      </c>
      <c r="K38" s="1" t="str">
        <f>IF(F38="SOLD",COUNTIF($F$4:F38,"SOLD"),"")</f>
        <v/>
      </c>
      <c r="L38" s="1" t="str">
        <f>IF(F38="UNSOLD",COUNTIF($F$4:F38,"UNSOLD"),"")</f>
        <v/>
      </c>
      <c r="M38" s="1" t="str">
        <f>IF(AND(F38="SOLD",G38='Team View'!$B$3),COUNTIFS($F$4:F38,"SOLD",$G$4:G38,'Team View'!$B$3),"")</f>
        <v/>
      </c>
    </row>
    <row r="39" spans="1:13">
      <c r="A39" s="1" t="str">
        <f t="shared" si="0"/>
        <v/>
      </c>
      <c r="B39" s="1"/>
      <c r="C39" s="1"/>
      <c r="D39" s="1"/>
      <c r="E39" s="7"/>
      <c r="F39" s="1"/>
      <c r="G39" s="1"/>
      <c r="H39" s="7"/>
      <c r="I39" s="1"/>
      <c r="J39" s="1" t="str">
        <f>IF(B39="","",IF(F39&lt;&gt;"SOLD","",IF(OR(G39="",H39=""),"SELECT TEAM &amp; PRICE",IFERROR(IF(H39&gt;INDEX(Teams!$B$4:$B$13,MATCH(G39,Teams!$A$4:$A$13,0))-SUMIFS($H$4:$H$503,$G$4:$G$503,G39,$F$4:$F$503,"SOLD",$A$4:$A$503,"&lt;&gt;"&amp;A39),"OVER BUDGET","OK"),"INVALID TEAM"))))</f>
        <v/>
      </c>
      <c r="K39" s="1" t="str">
        <f>IF(F39="SOLD",COUNTIF($F$4:F39,"SOLD"),"")</f>
        <v/>
      </c>
      <c r="L39" s="1" t="str">
        <f>IF(F39="UNSOLD",COUNTIF($F$4:F39,"UNSOLD"),"")</f>
        <v/>
      </c>
      <c r="M39" s="1" t="str">
        <f>IF(AND(F39="SOLD",G39='Team View'!$B$3),COUNTIFS($F$4:F39,"SOLD",$G$4:G39,'Team View'!$B$3),"")</f>
        <v/>
      </c>
    </row>
    <row r="40" spans="1:13">
      <c r="A40" s="1" t="str">
        <f t="shared" si="0"/>
        <v/>
      </c>
      <c r="B40" s="1"/>
      <c r="C40" s="1"/>
      <c r="D40" s="1"/>
      <c r="E40" s="7"/>
      <c r="F40" s="1"/>
      <c r="G40" s="1"/>
      <c r="H40" s="7"/>
      <c r="I40" s="1"/>
      <c r="J40" s="1" t="str">
        <f>IF(B40="","",IF(F40&lt;&gt;"SOLD","",IF(OR(G40="",H40=""),"SELECT TEAM &amp; PRICE",IFERROR(IF(H40&gt;INDEX(Teams!$B$4:$B$13,MATCH(G40,Teams!$A$4:$A$13,0))-SUMIFS($H$4:$H$503,$G$4:$G$503,G40,$F$4:$F$503,"SOLD",$A$4:$A$503,"&lt;&gt;"&amp;A40),"OVER BUDGET","OK"),"INVALID TEAM"))))</f>
        <v/>
      </c>
      <c r="K40" s="1" t="str">
        <f>IF(F40="SOLD",COUNTIF($F$4:F40,"SOLD"),"")</f>
        <v/>
      </c>
      <c r="L40" s="1" t="str">
        <f>IF(F40="UNSOLD",COUNTIF($F$4:F40,"UNSOLD"),"")</f>
        <v/>
      </c>
      <c r="M40" s="1" t="str">
        <f>IF(AND(F40="SOLD",G40='Team View'!$B$3),COUNTIFS($F$4:F40,"SOLD",$G$4:G40,'Team View'!$B$3),"")</f>
        <v/>
      </c>
    </row>
    <row r="41" spans="1:13">
      <c r="A41" s="1" t="str">
        <f t="shared" si="0"/>
        <v/>
      </c>
      <c r="B41" s="1"/>
      <c r="C41" s="1"/>
      <c r="D41" s="1"/>
      <c r="E41" s="7"/>
      <c r="F41" s="1"/>
      <c r="G41" s="1"/>
      <c r="H41" s="7"/>
      <c r="I41" s="1"/>
      <c r="J41" s="1" t="str">
        <f>IF(B41="","",IF(F41&lt;&gt;"SOLD","",IF(OR(G41="",H41=""),"SELECT TEAM &amp; PRICE",IFERROR(IF(H41&gt;INDEX(Teams!$B$4:$B$13,MATCH(G41,Teams!$A$4:$A$13,0))-SUMIFS($H$4:$H$503,$G$4:$G$503,G41,$F$4:$F$503,"SOLD",$A$4:$A$503,"&lt;&gt;"&amp;A41),"OVER BUDGET","OK"),"INVALID TEAM"))))</f>
        <v/>
      </c>
      <c r="K41" s="1" t="str">
        <f>IF(F41="SOLD",COUNTIF($F$4:F41,"SOLD"),"")</f>
        <v/>
      </c>
      <c r="L41" s="1" t="str">
        <f>IF(F41="UNSOLD",COUNTIF($F$4:F41,"UNSOLD"),"")</f>
        <v/>
      </c>
      <c r="M41" s="1" t="str">
        <f>IF(AND(F41="SOLD",G41='Team View'!$B$3),COUNTIFS($F$4:F41,"SOLD",$G$4:G41,'Team View'!$B$3),"")</f>
        <v/>
      </c>
    </row>
    <row r="42" spans="1:13">
      <c r="A42" s="1" t="str">
        <f t="shared" si="0"/>
        <v/>
      </c>
      <c r="B42" s="1"/>
      <c r="C42" s="1"/>
      <c r="D42" s="1"/>
      <c r="E42" s="7"/>
      <c r="F42" s="1"/>
      <c r="G42" s="1"/>
      <c r="H42" s="7"/>
      <c r="I42" s="1"/>
      <c r="J42" s="1" t="str">
        <f>IF(B42="","",IF(F42&lt;&gt;"SOLD","",IF(OR(G42="",H42=""),"SELECT TEAM &amp; PRICE",IFERROR(IF(H42&gt;INDEX(Teams!$B$4:$B$13,MATCH(G42,Teams!$A$4:$A$13,0))-SUMIFS($H$4:$H$503,$G$4:$G$503,G42,$F$4:$F$503,"SOLD",$A$4:$A$503,"&lt;&gt;"&amp;A42),"OVER BUDGET","OK"),"INVALID TEAM"))))</f>
        <v/>
      </c>
      <c r="K42" s="1" t="str">
        <f>IF(F42="SOLD",COUNTIF($F$4:F42,"SOLD"),"")</f>
        <v/>
      </c>
      <c r="L42" s="1" t="str">
        <f>IF(F42="UNSOLD",COUNTIF($F$4:F42,"UNSOLD"),"")</f>
        <v/>
      </c>
      <c r="M42" s="1" t="str">
        <f>IF(AND(F42="SOLD",G42='Team View'!$B$3),COUNTIFS($F$4:F42,"SOLD",$G$4:G42,'Team View'!$B$3),"")</f>
        <v/>
      </c>
    </row>
    <row r="43" spans="1:13">
      <c r="A43" s="1" t="str">
        <f t="shared" si="0"/>
        <v/>
      </c>
      <c r="B43" s="1"/>
      <c r="C43" s="1"/>
      <c r="D43" s="1"/>
      <c r="E43" s="7"/>
      <c r="F43" s="1"/>
      <c r="G43" s="1"/>
      <c r="H43" s="7"/>
      <c r="I43" s="1"/>
      <c r="J43" s="1" t="str">
        <f>IF(B43="","",IF(F43&lt;&gt;"SOLD","",IF(OR(G43="",H43=""),"SELECT TEAM &amp; PRICE",IFERROR(IF(H43&gt;INDEX(Teams!$B$4:$B$13,MATCH(G43,Teams!$A$4:$A$13,0))-SUMIFS($H$4:$H$503,$G$4:$G$503,G43,$F$4:$F$503,"SOLD",$A$4:$A$503,"&lt;&gt;"&amp;A43),"OVER BUDGET","OK"),"INVALID TEAM"))))</f>
        <v/>
      </c>
      <c r="K43" s="1" t="str">
        <f>IF(F43="SOLD",COUNTIF($F$4:F43,"SOLD"),"")</f>
        <v/>
      </c>
      <c r="L43" s="1" t="str">
        <f>IF(F43="UNSOLD",COUNTIF($F$4:F43,"UNSOLD"),"")</f>
        <v/>
      </c>
      <c r="M43" s="1" t="str">
        <f>IF(AND(F43="SOLD",G43='Team View'!$B$3),COUNTIFS($F$4:F43,"SOLD",$G$4:G43,'Team View'!$B$3),"")</f>
        <v/>
      </c>
    </row>
    <row r="44" spans="1:13">
      <c r="A44" s="1" t="str">
        <f t="shared" si="0"/>
        <v/>
      </c>
      <c r="B44" s="1"/>
      <c r="C44" s="1"/>
      <c r="D44" s="1"/>
      <c r="E44" s="7"/>
      <c r="F44" s="1"/>
      <c r="G44" s="1"/>
      <c r="H44" s="7"/>
      <c r="I44" s="1"/>
      <c r="J44" s="1" t="str">
        <f>IF(B44="","",IF(F44&lt;&gt;"SOLD","",IF(OR(G44="",H44=""),"SELECT TEAM &amp; PRICE",IFERROR(IF(H44&gt;INDEX(Teams!$B$4:$B$13,MATCH(G44,Teams!$A$4:$A$13,0))-SUMIFS($H$4:$H$503,$G$4:$G$503,G44,$F$4:$F$503,"SOLD",$A$4:$A$503,"&lt;&gt;"&amp;A44),"OVER BUDGET","OK"),"INVALID TEAM"))))</f>
        <v/>
      </c>
      <c r="K44" s="1" t="str">
        <f>IF(F44="SOLD",COUNTIF($F$4:F44,"SOLD"),"")</f>
        <v/>
      </c>
      <c r="L44" s="1" t="str">
        <f>IF(F44="UNSOLD",COUNTIF($F$4:F44,"UNSOLD"),"")</f>
        <v/>
      </c>
      <c r="M44" s="1" t="str">
        <f>IF(AND(F44="SOLD",G44='Team View'!$B$3),COUNTIFS($F$4:F44,"SOLD",$G$4:G44,'Team View'!$B$3),"")</f>
        <v/>
      </c>
    </row>
    <row r="45" spans="1:13">
      <c r="A45" s="1" t="str">
        <f t="shared" si="0"/>
        <v/>
      </c>
      <c r="B45" s="1"/>
      <c r="C45" s="1"/>
      <c r="D45" s="1"/>
      <c r="E45" s="7"/>
      <c r="F45" s="1"/>
      <c r="G45" s="1"/>
      <c r="H45" s="7"/>
      <c r="I45" s="1"/>
      <c r="J45" s="1" t="str">
        <f>IF(B45="","",IF(F45&lt;&gt;"SOLD","",IF(OR(G45="",H45=""),"SELECT TEAM &amp; PRICE",IFERROR(IF(H45&gt;INDEX(Teams!$B$4:$B$13,MATCH(G45,Teams!$A$4:$A$13,0))-SUMIFS($H$4:$H$503,$G$4:$G$503,G45,$F$4:$F$503,"SOLD",$A$4:$A$503,"&lt;&gt;"&amp;A45),"OVER BUDGET","OK"),"INVALID TEAM"))))</f>
        <v/>
      </c>
      <c r="K45" s="1" t="str">
        <f>IF(F45="SOLD",COUNTIF($F$4:F45,"SOLD"),"")</f>
        <v/>
      </c>
      <c r="L45" s="1" t="str">
        <f>IF(F45="UNSOLD",COUNTIF($F$4:F45,"UNSOLD"),"")</f>
        <v/>
      </c>
      <c r="M45" s="1" t="str">
        <f>IF(AND(F45="SOLD",G45='Team View'!$B$3),COUNTIFS($F$4:F45,"SOLD",$G$4:G45,'Team View'!$B$3),"")</f>
        <v/>
      </c>
    </row>
    <row r="46" spans="1:13">
      <c r="A46" s="1" t="str">
        <f t="shared" si="0"/>
        <v/>
      </c>
      <c r="B46" s="1"/>
      <c r="C46" s="1"/>
      <c r="D46" s="1"/>
      <c r="E46" s="7"/>
      <c r="F46" s="1"/>
      <c r="G46" s="1"/>
      <c r="H46" s="7"/>
      <c r="I46" s="1"/>
      <c r="J46" s="1" t="str">
        <f>IF(B46="","",IF(F46&lt;&gt;"SOLD","",IF(OR(G46="",H46=""),"SELECT TEAM &amp; PRICE",IFERROR(IF(H46&gt;INDEX(Teams!$B$4:$B$13,MATCH(G46,Teams!$A$4:$A$13,0))-SUMIFS($H$4:$H$503,$G$4:$G$503,G46,$F$4:$F$503,"SOLD",$A$4:$A$503,"&lt;&gt;"&amp;A46),"OVER BUDGET","OK"),"INVALID TEAM"))))</f>
        <v/>
      </c>
      <c r="K46" s="1" t="str">
        <f>IF(F46="SOLD",COUNTIF($F$4:F46,"SOLD"),"")</f>
        <v/>
      </c>
      <c r="L46" s="1" t="str">
        <f>IF(F46="UNSOLD",COUNTIF($F$4:F46,"UNSOLD"),"")</f>
        <v/>
      </c>
      <c r="M46" s="1" t="str">
        <f>IF(AND(F46="SOLD",G46='Team View'!$B$3),COUNTIFS($F$4:F46,"SOLD",$G$4:G46,'Team View'!$B$3),"")</f>
        <v/>
      </c>
    </row>
    <row r="47" spans="1:13">
      <c r="A47" s="1" t="str">
        <f t="shared" si="0"/>
        <v/>
      </c>
      <c r="B47" s="1"/>
      <c r="C47" s="1"/>
      <c r="D47" s="1"/>
      <c r="E47" s="7"/>
      <c r="F47" s="1"/>
      <c r="G47" s="1"/>
      <c r="H47" s="7"/>
      <c r="I47" s="1"/>
      <c r="J47" s="1" t="str">
        <f>IF(B47="","",IF(F47&lt;&gt;"SOLD","",IF(OR(G47="",H47=""),"SELECT TEAM &amp; PRICE",IFERROR(IF(H47&gt;INDEX(Teams!$B$4:$B$13,MATCH(G47,Teams!$A$4:$A$13,0))-SUMIFS($H$4:$H$503,$G$4:$G$503,G47,$F$4:$F$503,"SOLD",$A$4:$A$503,"&lt;&gt;"&amp;A47),"OVER BUDGET","OK"),"INVALID TEAM"))))</f>
        <v/>
      </c>
      <c r="K47" s="1" t="str">
        <f>IF(F47="SOLD",COUNTIF($F$4:F47,"SOLD"),"")</f>
        <v/>
      </c>
      <c r="L47" s="1" t="str">
        <f>IF(F47="UNSOLD",COUNTIF($F$4:F47,"UNSOLD"),"")</f>
        <v/>
      </c>
      <c r="M47" s="1" t="str">
        <f>IF(AND(F47="SOLD",G47='Team View'!$B$3),COUNTIFS($F$4:F47,"SOLD",$G$4:G47,'Team View'!$B$3),"")</f>
        <v/>
      </c>
    </row>
    <row r="48" spans="1:13">
      <c r="A48" s="1" t="str">
        <f t="shared" si="0"/>
        <v/>
      </c>
      <c r="B48" s="1"/>
      <c r="C48" s="1"/>
      <c r="D48" s="1"/>
      <c r="E48" s="7"/>
      <c r="F48" s="1"/>
      <c r="G48" s="1"/>
      <c r="H48" s="7"/>
      <c r="I48" s="1"/>
      <c r="J48" s="1" t="str">
        <f>IF(B48="","",IF(F48&lt;&gt;"SOLD","",IF(OR(G48="",H48=""),"SELECT TEAM &amp; PRICE",IFERROR(IF(H48&gt;INDEX(Teams!$B$4:$B$13,MATCH(G48,Teams!$A$4:$A$13,0))-SUMIFS($H$4:$H$503,$G$4:$G$503,G48,$F$4:$F$503,"SOLD",$A$4:$A$503,"&lt;&gt;"&amp;A48),"OVER BUDGET","OK"),"INVALID TEAM"))))</f>
        <v/>
      </c>
      <c r="K48" s="1" t="str">
        <f>IF(F48="SOLD",COUNTIF($F$4:F48,"SOLD"),"")</f>
        <v/>
      </c>
      <c r="L48" s="1" t="str">
        <f>IF(F48="UNSOLD",COUNTIF($F$4:F48,"UNSOLD"),"")</f>
        <v/>
      </c>
      <c r="M48" s="1" t="str">
        <f>IF(AND(F48="SOLD",G48='Team View'!$B$3),COUNTIFS($F$4:F48,"SOLD",$G$4:G48,'Team View'!$B$3),"")</f>
        <v/>
      </c>
    </row>
    <row r="49" spans="1:13">
      <c r="A49" s="1" t="str">
        <f t="shared" si="0"/>
        <v/>
      </c>
      <c r="B49" s="1"/>
      <c r="C49" s="1"/>
      <c r="D49" s="1"/>
      <c r="E49" s="7"/>
      <c r="F49" s="1"/>
      <c r="G49" s="1"/>
      <c r="H49" s="7"/>
      <c r="I49" s="1"/>
      <c r="J49" s="1" t="str">
        <f>IF(B49="","",IF(F49&lt;&gt;"SOLD","",IF(OR(G49="",H49=""),"SELECT TEAM &amp; PRICE",IFERROR(IF(H49&gt;INDEX(Teams!$B$4:$B$13,MATCH(G49,Teams!$A$4:$A$13,0))-SUMIFS($H$4:$H$503,$G$4:$G$503,G49,$F$4:$F$503,"SOLD",$A$4:$A$503,"&lt;&gt;"&amp;A49),"OVER BUDGET","OK"),"INVALID TEAM"))))</f>
        <v/>
      </c>
      <c r="K49" s="1" t="str">
        <f>IF(F49="SOLD",COUNTIF($F$4:F49,"SOLD"),"")</f>
        <v/>
      </c>
      <c r="L49" s="1" t="str">
        <f>IF(F49="UNSOLD",COUNTIF($F$4:F49,"UNSOLD"),"")</f>
        <v/>
      </c>
      <c r="M49" s="1" t="str">
        <f>IF(AND(F49="SOLD",G49='Team View'!$B$3),COUNTIFS($F$4:F49,"SOLD",$G$4:G49,'Team View'!$B$3),"")</f>
        <v/>
      </c>
    </row>
    <row r="50" spans="1:13">
      <c r="A50" s="1" t="str">
        <f t="shared" si="0"/>
        <v/>
      </c>
      <c r="B50" s="1"/>
      <c r="C50" s="1"/>
      <c r="D50" s="1"/>
      <c r="E50" s="7"/>
      <c r="F50" s="1"/>
      <c r="G50" s="1"/>
      <c r="H50" s="7"/>
      <c r="I50" s="1"/>
      <c r="J50" s="1" t="str">
        <f>IF(B50="","",IF(F50&lt;&gt;"SOLD","",IF(OR(G50="",H50=""),"SELECT TEAM &amp; PRICE",IFERROR(IF(H50&gt;INDEX(Teams!$B$4:$B$13,MATCH(G50,Teams!$A$4:$A$13,0))-SUMIFS($H$4:$H$503,$G$4:$G$503,G50,$F$4:$F$503,"SOLD",$A$4:$A$503,"&lt;&gt;"&amp;A50),"OVER BUDGET","OK"),"INVALID TEAM"))))</f>
        <v/>
      </c>
      <c r="K50" s="1" t="str">
        <f>IF(F50="SOLD",COUNTIF($F$4:F50,"SOLD"),"")</f>
        <v/>
      </c>
      <c r="L50" s="1" t="str">
        <f>IF(F50="UNSOLD",COUNTIF($F$4:F50,"UNSOLD"),"")</f>
        <v/>
      </c>
      <c r="M50" s="1" t="str">
        <f>IF(AND(F50="SOLD",G50='Team View'!$B$3),COUNTIFS($F$4:F50,"SOLD",$G$4:G50,'Team View'!$B$3),"")</f>
        <v/>
      </c>
    </row>
    <row r="51" spans="1:13">
      <c r="A51" s="1" t="str">
        <f t="shared" si="0"/>
        <v/>
      </c>
      <c r="B51" s="1"/>
      <c r="C51" s="1"/>
      <c r="D51" s="1"/>
      <c r="E51" s="7"/>
      <c r="F51" s="1"/>
      <c r="G51" s="1"/>
      <c r="H51" s="7"/>
      <c r="I51" s="1"/>
      <c r="J51" s="1" t="str">
        <f>IF(B51="","",IF(F51&lt;&gt;"SOLD","",IF(OR(G51="",H51=""),"SELECT TEAM &amp; PRICE",IFERROR(IF(H51&gt;INDEX(Teams!$B$4:$B$13,MATCH(G51,Teams!$A$4:$A$13,0))-SUMIFS($H$4:$H$503,$G$4:$G$503,G51,$F$4:$F$503,"SOLD",$A$4:$A$503,"&lt;&gt;"&amp;A51),"OVER BUDGET","OK"),"INVALID TEAM"))))</f>
        <v/>
      </c>
      <c r="K51" s="1" t="str">
        <f>IF(F51="SOLD",COUNTIF($F$4:F51,"SOLD"),"")</f>
        <v/>
      </c>
      <c r="L51" s="1" t="str">
        <f>IF(F51="UNSOLD",COUNTIF($F$4:F51,"UNSOLD"),"")</f>
        <v/>
      </c>
      <c r="M51" s="1" t="str">
        <f>IF(AND(F51="SOLD",G51='Team View'!$B$3),COUNTIFS($F$4:F51,"SOLD",$G$4:G51,'Team View'!$B$3),"")</f>
        <v/>
      </c>
    </row>
    <row r="52" spans="1:13">
      <c r="A52" s="1" t="str">
        <f t="shared" si="0"/>
        <v/>
      </c>
      <c r="B52" s="1"/>
      <c r="C52" s="1"/>
      <c r="D52" s="1"/>
      <c r="E52" s="7"/>
      <c r="F52" s="1"/>
      <c r="G52" s="1"/>
      <c r="H52" s="7"/>
      <c r="I52" s="1"/>
      <c r="J52" s="1" t="str">
        <f>IF(B52="","",IF(F52&lt;&gt;"SOLD","",IF(OR(G52="",H52=""),"SELECT TEAM &amp; PRICE",IFERROR(IF(H52&gt;INDEX(Teams!$B$4:$B$13,MATCH(G52,Teams!$A$4:$A$13,0))-SUMIFS($H$4:$H$503,$G$4:$G$503,G52,$F$4:$F$503,"SOLD",$A$4:$A$503,"&lt;&gt;"&amp;A52),"OVER BUDGET","OK"),"INVALID TEAM"))))</f>
        <v/>
      </c>
      <c r="K52" s="1" t="str">
        <f>IF(F52="SOLD",COUNTIF($F$4:F52,"SOLD"),"")</f>
        <v/>
      </c>
      <c r="L52" s="1" t="str">
        <f>IF(F52="UNSOLD",COUNTIF($F$4:F52,"UNSOLD"),"")</f>
        <v/>
      </c>
      <c r="M52" s="1" t="str">
        <f>IF(AND(F52="SOLD",G52='Team View'!$B$3),COUNTIFS($F$4:F52,"SOLD",$G$4:G52,'Team View'!$B$3),"")</f>
        <v/>
      </c>
    </row>
    <row r="53" spans="1:13">
      <c r="A53" s="1" t="str">
        <f t="shared" si="0"/>
        <v/>
      </c>
      <c r="B53" s="1"/>
      <c r="C53" s="1"/>
      <c r="D53" s="1"/>
      <c r="E53" s="7"/>
      <c r="F53" s="1"/>
      <c r="G53" s="1"/>
      <c r="H53" s="7"/>
      <c r="I53" s="1"/>
      <c r="J53" s="1" t="str">
        <f>IF(B53="","",IF(F53&lt;&gt;"SOLD","",IF(OR(G53="",H53=""),"SELECT TEAM &amp; PRICE",IFERROR(IF(H53&gt;INDEX(Teams!$B$4:$B$13,MATCH(G53,Teams!$A$4:$A$13,0))-SUMIFS($H$4:$H$503,$G$4:$G$503,G53,$F$4:$F$503,"SOLD",$A$4:$A$503,"&lt;&gt;"&amp;A53),"OVER BUDGET","OK"),"INVALID TEAM"))))</f>
        <v/>
      </c>
      <c r="K53" s="1" t="str">
        <f>IF(F53="SOLD",COUNTIF($F$4:F53,"SOLD"),"")</f>
        <v/>
      </c>
      <c r="L53" s="1" t="str">
        <f>IF(F53="UNSOLD",COUNTIF($F$4:F53,"UNSOLD"),"")</f>
        <v/>
      </c>
      <c r="M53" s="1" t="str">
        <f>IF(AND(F53="SOLD",G53='Team View'!$B$3),COUNTIFS($F$4:F53,"SOLD",$G$4:G53,'Team View'!$B$3),"")</f>
        <v/>
      </c>
    </row>
    <row r="54" spans="1:13">
      <c r="A54" s="1" t="str">
        <f t="shared" si="0"/>
        <v/>
      </c>
      <c r="B54" s="1"/>
      <c r="C54" s="1"/>
      <c r="D54" s="1"/>
      <c r="E54" s="7"/>
      <c r="F54" s="1"/>
      <c r="G54" s="1"/>
      <c r="H54" s="7"/>
      <c r="I54" s="1"/>
      <c r="J54" s="1" t="str">
        <f>IF(B54="","",IF(F54&lt;&gt;"SOLD","",IF(OR(G54="",H54=""),"SELECT TEAM &amp; PRICE",IFERROR(IF(H54&gt;INDEX(Teams!$B$4:$B$13,MATCH(G54,Teams!$A$4:$A$13,0))-SUMIFS($H$4:$H$503,$G$4:$G$503,G54,$F$4:$F$503,"SOLD",$A$4:$A$503,"&lt;&gt;"&amp;A54),"OVER BUDGET","OK"),"INVALID TEAM"))))</f>
        <v/>
      </c>
      <c r="K54" s="1" t="str">
        <f>IF(F54="SOLD",COUNTIF($F$4:F54,"SOLD"),"")</f>
        <v/>
      </c>
      <c r="L54" s="1" t="str">
        <f>IF(F54="UNSOLD",COUNTIF($F$4:F54,"UNSOLD"),"")</f>
        <v/>
      </c>
      <c r="M54" s="1" t="str">
        <f>IF(AND(F54="SOLD",G54='Team View'!$B$3),COUNTIFS($F$4:F54,"SOLD",$G$4:G54,'Team View'!$B$3),"")</f>
        <v/>
      </c>
    </row>
    <row r="55" spans="1:13">
      <c r="A55" s="1" t="str">
        <f t="shared" si="0"/>
        <v/>
      </c>
      <c r="B55" s="1"/>
      <c r="C55" s="1"/>
      <c r="D55" s="1"/>
      <c r="E55" s="7"/>
      <c r="F55" s="1"/>
      <c r="G55" s="1"/>
      <c r="H55" s="7"/>
      <c r="I55" s="1"/>
      <c r="J55" s="1" t="str">
        <f>IF(B55="","",IF(F55&lt;&gt;"SOLD","",IF(OR(G55="",H55=""),"SELECT TEAM &amp; PRICE",IFERROR(IF(H55&gt;INDEX(Teams!$B$4:$B$13,MATCH(G55,Teams!$A$4:$A$13,0))-SUMIFS($H$4:$H$503,$G$4:$G$503,G55,$F$4:$F$503,"SOLD",$A$4:$A$503,"&lt;&gt;"&amp;A55),"OVER BUDGET","OK"),"INVALID TEAM"))))</f>
        <v/>
      </c>
      <c r="K55" s="1" t="str">
        <f>IF(F55="SOLD",COUNTIF($F$4:F55,"SOLD"),"")</f>
        <v/>
      </c>
      <c r="L55" s="1" t="str">
        <f>IF(F55="UNSOLD",COUNTIF($F$4:F55,"UNSOLD"),"")</f>
        <v/>
      </c>
      <c r="M55" s="1" t="str">
        <f>IF(AND(F55="SOLD",G55='Team View'!$B$3),COUNTIFS($F$4:F55,"SOLD",$G$4:G55,'Team View'!$B$3),"")</f>
        <v/>
      </c>
    </row>
    <row r="56" spans="1:13">
      <c r="A56" s="1" t="str">
        <f t="shared" si="0"/>
        <v/>
      </c>
      <c r="B56" s="1"/>
      <c r="C56" s="1"/>
      <c r="D56" s="1"/>
      <c r="E56" s="7"/>
      <c r="F56" s="1"/>
      <c r="G56" s="1"/>
      <c r="H56" s="7"/>
      <c r="I56" s="1"/>
      <c r="J56" s="1" t="str">
        <f>IF(B56="","",IF(F56&lt;&gt;"SOLD","",IF(OR(G56="",H56=""),"SELECT TEAM &amp; PRICE",IFERROR(IF(H56&gt;INDEX(Teams!$B$4:$B$13,MATCH(G56,Teams!$A$4:$A$13,0))-SUMIFS($H$4:$H$503,$G$4:$G$503,G56,$F$4:$F$503,"SOLD",$A$4:$A$503,"&lt;&gt;"&amp;A56),"OVER BUDGET","OK"),"INVALID TEAM"))))</f>
        <v/>
      </c>
      <c r="K56" s="1" t="str">
        <f>IF(F56="SOLD",COUNTIF($F$4:F56,"SOLD"),"")</f>
        <v/>
      </c>
      <c r="L56" s="1" t="str">
        <f>IF(F56="UNSOLD",COUNTIF($F$4:F56,"UNSOLD"),"")</f>
        <v/>
      </c>
      <c r="M56" s="1" t="str">
        <f>IF(AND(F56="SOLD",G56='Team View'!$B$3),COUNTIFS($F$4:F56,"SOLD",$G$4:G56,'Team View'!$B$3),"")</f>
        <v/>
      </c>
    </row>
    <row r="57" spans="1:13">
      <c r="A57" s="1" t="str">
        <f t="shared" si="0"/>
        <v/>
      </c>
      <c r="B57" s="1"/>
      <c r="C57" s="1"/>
      <c r="D57" s="1"/>
      <c r="E57" s="7"/>
      <c r="F57" s="1"/>
      <c r="G57" s="1"/>
      <c r="H57" s="7"/>
      <c r="I57" s="1"/>
      <c r="J57" s="1" t="str">
        <f>IF(B57="","",IF(F57&lt;&gt;"SOLD","",IF(OR(G57="",H57=""),"SELECT TEAM &amp; PRICE",IFERROR(IF(H57&gt;INDEX(Teams!$B$4:$B$13,MATCH(G57,Teams!$A$4:$A$13,0))-SUMIFS($H$4:$H$503,$G$4:$G$503,G57,$F$4:$F$503,"SOLD",$A$4:$A$503,"&lt;&gt;"&amp;A57),"OVER BUDGET","OK"),"INVALID TEAM"))))</f>
        <v/>
      </c>
      <c r="K57" s="1" t="str">
        <f>IF(F57="SOLD",COUNTIF($F$4:F57,"SOLD"),"")</f>
        <v/>
      </c>
      <c r="L57" s="1" t="str">
        <f>IF(F57="UNSOLD",COUNTIF($F$4:F57,"UNSOLD"),"")</f>
        <v/>
      </c>
      <c r="M57" s="1" t="str">
        <f>IF(AND(F57="SOLD",G57='Team View'!$B$3),COUNTIFS($F$4:F57,"SOLD",$G$4:G57,'Team View'!$B$3),"")</f>
        <v/>
      </c>
    </row>
    <row r="58" spans="1:13">
      <c r="A58" s="1" t="str">
        <f t="shared" si="0"/>
        <v/>
      </c>
      <c r="B58" s="1"/>
      <c r="C58" s="1"/>
      <c r="D58" s="1"/>
      <c r="E58" s="7"/>
      <c r="F58" s="1"/>
      <c r="G58" s="1"/>
      <c r="H58" s="7"/>
      <c r="I58" s="1"/>
      <c r="J58" s="1" t="str">
        <f>IF(B58="","",IF(F58&lt;&gt;"SOLD","",IF(OR(G58="",H58=""),"SELECT TEAM &amp; PRICE",IFERROR(IF(H58&gt;INDEX(Teams!$B$4:$B$13,MATCH(G58,Teams!$A$4:$A$13,0))-SUMIFS($H$4:$H$503,$G$4:$G$503,G58,$F$4:$F$503,"SOLD",$A$4:$A$503,"&lt;&gt;"&amp;A58),"OVER BUDGET","OK"),"INVALID TEAM"))))</f>
        <v/>
      </c>
      <c r="K58" s="1" t="str">
        <f>IF(F58="SOLD",COUNTIF($F$4:F58,"SOLD"),"")</f>
        <v/>
      </c>
      <c r="L58" s="1" t="str">
        <f>IF(F58="UNSOLD",COUNTIF($F$4:F58,"UNSOLD"),"")</f>
        <v/>
      </c>
      <c r="M58" s="1" t="str">
        <f>IF(AND(F58="SOLD",G58='Team View'!$B$3),COUNTIFS($F$4:F58,"SOLD",$G$4:G58,'Team View'!$B$3),"")</f>
        <v/>
      </c>
    </row>
    <row r="59" spans="1:13">
      <c r="A59" s="1" t="str">
        <f t="shared" si="0"/>
        <v/>
      </c>
      <c r="B59" s="1"/>
      <c r="C59" s="1"/>
      <c r="D59" s="1"/>
      <c r="E59" s="7"/>
      <c r="F59" s="1"/>
      <c r="G59" s="1"/>
      <c r="H59" s="7"/>
      <c r="I59" s="1"/>
      <c r="J59" s="1" t="str">
        <f>IF(B59="","",IF(F59&lt;&gt;"SOLD","",IF(OR(G59="",H59=""),"SELECT TEAM &amp; PRICE",IFERROR(IF(H59&gt;INDEX(Teams!$B$4:$B$13,MATCH(G59,Teams!$A$4:$A$13,0))-SUMIFS($H$4:$H$503,$G$4:$G$503,G59,$F$4:$F$503,"SOLD",$A$4:$A$503,"&lt;&gt;"&amp;A59),"OVER BUDGET","OK"),"INVALID TEAM"))))</f>
        <v/>
      </c>
      <c r="K59" s="1" t="str">
        <f>IF(F59="SOLD",COUNTIF($F$4:F59,"SOLD"),"")</f>
        <v/>
      </c>
      <c r="L59" s="1" t="str">
        <f>IF(F59="UNSOLD",COUNTIF($F$4:F59,"UNSOLD"),"")</f>
        <v/>
      </c>
      <c r="M59" s="1" t="str">
        <f>IF(AND(F59="SOLD",G59='Team View'!$B$3),COUNTIFS($F$4:F59,"SOLD",$G$4:G59,'Team View'!$B$3),"")</f>
        <v/>
      </c>
    </row>
    <row r="60" spans="1:13">
      <c r="A60" s="1" t="str">
        <f t="shared" si="0"/>
        <v/>
      </c>
      <c r="B60" s="1"/>
      <c r="C60" s="1"/>
      <c r="D60" s="1"/>
      <c r="E60" s="7"/>
      <c r="F60" s="1"/>
      <c r="G60" s="1"/>
      <c r="H60" s="7"/>
      <c r="I60" s="1"/>
      <c r="J60" s="1" t="str">
        <f>IF(B60="","",IF(F60&lt;&gt;"SOLD","",IF(OR(G60="",H60=""),"SELECT TEAM &amp; PRICE",IFERROR(IF(H60&gt;INDEX(Teams!$B$4:$B$13,MATCH(G60,Teams!$A$4:$A$13,0))-SUMIFS($H$4:$H$503,$G$4:$G$503,G60,$F$4:$F$503,"SOLD",$A$4:$A$503,"&lt;&gt;"&amp;A60),"OVER BUDGET","OK"),"INVALID TEAM"))))</f>
        <v/>
      </c>
      <c r="K60" s="1" t="str">
        <f>IF(F60="SOLD",COUNTIF($F$4:F60,"SOLD"),"")</f>
        <v/>
      </c>
      <c r="L60" s="1" t="str">
        <f>IF(F60="UNSOLD",COUNTIF($F$4:F60,"UNSOLD"),"")</f>
        <v/>
      </c>
      <c r="M60" s="1" t="str">
        <f>IF(AND(F60="SOLD",G60='Team View'!$B$3),COUNTIFS($F$4:F60,"SOLD",$G$4:G60,'Team View'!$B$3),"")</f>
        <v/>
      </c>
    </row>
    <row r="61" spans="1:13">
      <c r="A61" s="1" t="str">
        <f t="shared" si="0"/>
        <v/>
      </c>
      <c r="B61" s="1"/>
      <c r="C61" s="1"/>
      <c r="D61" s="1"/>
      <c r="E61" s="7"/>
      <c r="F61" s="1"/>
      <c r="G61" s="1"/>
      <c r="H61" s="7"/>
      <c r="I61" s="1"/>
      <c r="J61" s="1" t="str">
        <f>IF(B61="","",IF(F61&lt;&gt;"SOLD","",IF(OR(G61="",H61=""),"SELECT TEAM &amp; PRICE",IFERROR(IF(H61&gt;INDEX(Teams!$B$4:$B$13,MATCH(G61,Teams!$A$4:$A$13,0))-SUMIFS($H$4:$H$503,$G$4:$G$503,G61,$F$4:$F$503,"SOLD",$A$4:$A$503,"&lt;&gt;"&amp;A61),"OVER BUDGET","OK"),"INVALID TEAM"))))</f>
        <v/>
      </c>
      <c r="K61" s="1" t="str">
        <f>IF(F61="SOLD",COUNTIF($F$4:F61,"SOLD"),"")</f>
        <v/>
      </c>
      <c r="L61" s="1" t="str">
        <f>IF(F61="UNSOLD",COUNTIF($F$4:F61,"UNSOLD"),"")</f>
        <v/>
      </c>
      <c r="M61" s="1" t="str">
        <f>IF(AND(F61="SOLD",G61='Team View'!$B$3),COUNTIFS($F$4:F61,"SOLD",$G$4:G61,'Team View'!$B$3),"")</f>
        <v/>
      </c>
    </row>
    <row r="62" spans="1:13">
      <c r="A62" s="1" t="str">
        <f t="shared" si="0"/>
        <v/>
      </c>
      <c r="B62" s="1"/>
      <c r="C62" s="1"/>
      <c r="D62" s="1"/>
      <c r="E62" s="7"/>
      <c r="F62" s="1"/>
      <c r="G62" s="1"/>
      <c r="H62" s="7"/>
      <c r="I62" s="1"/>
      <c r="J62" s="1" t="str">
        <f>IF(B62="","",IF(F62&lt;&gt;"SOLD","",IF(OR(G62="",H62=""),"SELECT TEAM &amp; PRICE",IFERROR(IF(H62&gt;INDEX(Teams!$B$4:$B$13,MATCH(G62,Teams!$A$4:$A$13,0))-SUMIFS($H$4:$H$503,$G$4:$G$503,G62,$F$4:$F$503,"SOLD",$A$4:$A$503,"&lt;&gt;"&amp;A62),"OVER BUDGET","OK"),"INVALID TEAM"))))</f>
        <v/>
      </c>
      <c r="K62" s="1" t="str">
        <f>IF(F62="SOLD",COUNTIF($F$4:F62,"SOLD"),"")</f>
        <v/>
      </c>
      <c r="L62" s="1" t="str">
        <f>IF(F62="UNSOLD",COUNTIF($F$4:F62,"UNSOLD"),"")</f>
        <v/>
      </c>
      <c r="M62" s="1" t="str">
        <f>IF(AND(F62="SOLD",G62='Team View'!$B$3),COUNTIFS($F$4:F62,"SOLD",$G$4:G62,'Team View'!$B$3),"")</f>
        <v/>
      </c>
    </row>
    <row r="63" spans="1:13">
      <c r="A63" s="1" t="str">
        <f t="shared" si="0"/>
        <v/>
      </c>
      <c r="B63" s="1"/>
      <c r="C63" s="1"/>
      <c r="D63" s="1"/>
      <c r="E63" s="7"/>
      <c r="F63" s="1"/>
      <c r="G63" s="1"/>
      <c r="H63" s="7"/>
      <c r="I63" s="1"/>
      <c r="J63" s="1" t="str">
        <f>IF(B63="","",IF(F63&lt;&gt;"SOLD","",IF(OR(G63="",H63=""),"SELECT TEAM &amp; PRICE",IFERROR(IF(H63&gt;INDEX(Teams!$B$4:$B$13,MATCH(G63,Teams!$A$4:$A$13,0))-SUMIFS($H$4:$H$503,$G$4:$G$503,G63,$F$4:$F$503,"SOLD",$A$4:$A$503,"&lt;&gt;"&amp;A63),"OVER BUDGET","OK"),"INVALID TEAM"))))</f>
        <v/>
      </c>
      <c r="K63" s="1" t="str">
        <f>IF(F63="SOLD",COUNTIF($F$4:F63,"SOLD"),"")</f>
        <v/>
      </c>
      <c r="L63" s="1" t="str">
        <f>IF(F63="UNSOLD",COUNTIF($F$4:F63,"UNSOLD"),"")</f>
        <v/>
      </c>
      <c r="M63" s="1" t="str">
        <f>IF(AND(F63="SOLD",G63='Team View'!$B$3),COUNTIFS($F$4:F63,"SOLD",$G$4:G63,'Team View'!$B$3),"")</f>
        <v/>
      </c>
    </row>
    <row r="64" spans="1:13">
      <c r="A64" s="1" t="str">
        <f t="shared" si="0"/>
        <v/>
      </c>
      <c r="B64" s="1"/>
      <c r="C64" s="1"/>
      <c r="D64" s="1"/>
      <c r="E64" s="7"/>
      <c r="F64" s="1"/>
      <c r="G64" s="1"/>
      <c r="H64" s="7"/>
      <c r="I64" s="1"/>
      <c r="J64" s="1" t="str">
        <f>IF(B64="","",IF(F64&lt;&gt;"SOLD","",IF(OR(G64="",H64=""),"SELECT TEAM &amp; PRICE",IFERROR(IF(H64&gt;INDEX(Teams!$B$4:$B$13,MATCH(G64,Teams!$A$4:$A$13,0))-SUMIFS($H$4:$H$503,$G$4:$G$503,G64,$F$4:$F$503,"SOLD",$A$4:$A$503,"&lt;&gt;"&amp;A64),"OVER BUDGET","OK"),"INVALID TEAM"))))</f>
        <v/>
      </c>
      <c r="K64" s="1" t="str">
        <f>IF(F64="SOLD",COUNTIF($F$4:F64,"SOLD"),"")</f>
        <v/>
      </c>
      <c r="L64" s="1" t="str">
        <f>IF(F64="UNSOLD",COUNTIF($F$4:F64,"UNSOLD"),"")</f>
        <v/>
      </c>
      <c r="M64" s="1" t="str">
        <f>IF(AND(F64="SOLD",G64='Team View'!$B$3),COUNTIFS($F$4:F64,"SOLD",$G$4:G64,'Team View'!$B$3),"")</f>
        <v/>
      </c>
    </row>
    <row r="65" spans="1:13">
      <c r="A65" s="1" t="str">
        <f t="shared" si="0"/>
        <v/>
      </c>
      <c r="B65" s="1"/>
      <c r="C65" s="1"/>
      <c r="D65" s="1"/>
      <c r="E65" s="7"/>
      <c r="F65" s="1"/>
      <c r="G65" s="1"/>
      <c r="H65" s="7"/>
      <c r="I65" s="1"/>
      <c r="J65" s="1" t="str">
        <f>IF(B65="","",IF(F65&lt;&gt;"SOLD","",IF(OR(G65="",H65=""),"SELECT TEAM &amp; PRICE",IFERROR(IF(H65&gt;INDEX(Teams!$B$4:$B$13,MATCH(G65,Teams!$A$4:$A$13,0))-SUMIFS($H$4:$H$503,$G$4:$G$503,G65,$F$4:$F$503,"SOLD",$A$4:$A$503,"&lt;&gt;"&amp;A65),"OVER BUDGET","OK"),"INVALID TEAM"))))</f>
        <v/>
      </c>
      <c r="K65" s="1" t="str">
        <f>IF(F65="SOLD",COUNTIF($F$4:F65,"SOLD"),"")</f>
        <v/>
      </c>
      <c r="L65" s="1" t="str">
        <f>IF(F65="UNSOLD",COUNTIF($F$4:F65,"UNSOLD"),"")</f>
        <v/>
      </c>
      <c r="M65" s="1" t="str">
        <f>IF(AND(F65="SOLD",G65='Team View'!$B$3),COUNTIFS($F$4:F65,"SOLD",$G$4:G65,'Team View'!$B$3),"")</f>
        <v/>
      </c>
    </row>
    <row r="66" spans="1:13">
      <c r="A66" s="1" t="str">
        <f t="shared" si="0"/>
        <v/>
      </c>
      <c r="B66" s="1"/>
      <c r="C66" s="1"/>
      <c r="D66" s="1"/>
      <c r="E66" s="7"/>
      <c r="F66" s="1"/>
      <c r="G66" s="1"/>
      <c r="H66" s="7"/>
      <c r="I66" s="1"/>
      <c r="J66" s="1" t="str">
        <f>IF(B66="","",IF(F66&lt;&gt;"SOLD","",IF(OR(G66="",H66=""),"SELECT TEAM &amp; PRICE",IFERROR(IF(H66&gt;INDEX(Teams!$B$4:$B$13,MATCH(G66,Teams!$A$4:$A$13,0))-SUMIFS($H$4:$H$503,$G$4:$G$503,G66,$F$4:$F$503,"SOLD",$A$4:$A$503,"&lt;&gt;"&amp;A66),"OVER BUDGET","OK"),"INVALID TEAM"))))</f>
        <v/>
      </c>
      <c r="K66" s="1" t="str">
        <f>IF(F66="SOLD",COUNTIF($F$4:F66,"SOLD"),"")</f>
        <v/>
      </c>
      <c r="L66" s="1" t="str">
        <f>IF(F66="UNSOLD",COUNTIF($F$4:F66,"UNSOLD"),"")</f>
        <v/>
      </c>
      <c r="M66" s="1" t="str">
        <f>IF(AND(F66="SOLD",G66='Team View'!$B$3),COUNTIFS($F$4:F66,"SOLD",$G$4:G66,'Team View'!$B$3),"")</f>
        <v/>
      </c>
    </row>
    <row r="67" spans="1:13">
      <c r="A67" s="1" t="str">
        <f t="shared" si="0"/>
        <v/>
      </c>
      <c r="B67" s="1"/>
      <c r="C67" s="1"/>
      <c r="D67" s="1"/>
      <c r="E67" s="7"/>
      <c r="F67" s="1"/>
      <c r="G67" s="1"/>
      <c r="H67" s="7"/>
      <c r="I67" s="1"/>
      <c r="J67" s="1" t="str">
        <f>IF(B67="","",IF(F67&lt;&gt;"SOLD","",IF(OR(G67="",H67=""),"SELECT TEAM &amp; PRICE",IFERROR(IF(H67&gt;INDEX(Teams!$B$4:$B$13,MATCH(G67,Teams!$A$4:$A$13,0))-SUMIFS($H$4:$H$503,$G$4:$G$503,G67,$F$4:$F$503,"SOLD",$A$4:$A$503,"&lt;&gt;"&amp;A67),"OVER BUDGET","OK"),"INVALID TEAM"))))</f>
        <v/>
      </c>
      <c r="K67" s="1" t="str">
        <f>IF(F67="SOLD",COUNTIF($F$4:F67,"SOLD"),"")</f>
        <v/>
      </c>
      <c r="L67" s="1" t="str">
        <f>IF(F67="UNSOLD",COUNTIF($F$4:F67,"UNSOLD"),"")</f>
        <v/>
      </c>
      <c r="M67" s="1" t="str">
        <f>IF(AND(F67="SOLD",G67='Team View'!$B$3),COUNTIFS($F$4:F67,"SOLD",$G$4:G67,'Team View'!$B$3),"")</f>
        <v/>
      </c>
    </row>
    <row r="68" spans="1:13">
      <c r="A68" s="1" t="str">
        <f t="shared" ref="A68:A131" si="1">IF(B68="","",ROW()-3)</f>
        <v/>
      </c>
      <c r="B68" s="1"/>
      <c r="C68" s="1"/>
      <c r="D68" s="1"/>
      <c r="E68" s="7"/>
      <c r="F68" s="1"/>
      <c r="G68" s="1"/>
      <c r="H68" s="7"/>
      <c r="I68" s="1"/>
      <c r="J68" s="1" t="str">
        <f>IF(B68="","",IF(F68&lt;&gt;"SOLD","",IF(OR(G68="",H68=""),"SELECT TEAM &amp; PRICE",IFERROR(IF(H68&gt;INDEX(Teams!$B$4:$B$13,MATCH(G68,Teams!$A$4:$A$13,0))-SUMIFS($H$4:$H$503,$G$4:$G$503,G68,$F$4:$F$503,"SOLD",$A$4:$A$503,"&lt;&gt;"&amp;A68),"OVER BUDGET","OK"),"INVALID TEAM"))))</f>
        <v/>
      </c>
      <c r="K68" s="1" t="str">
        <f>IF(F68="SOLD",COUNTIF($F$4:F68,"SOLD"),"")</f>
        <v/>
      </c>
      <c r="L68" s="1" t="str">
        <f>IF(F68="UNSOLD",COUNTIF($F$4:F68,"UNSOLD"),"")</f>
        <v/>
      </c>
      <c r="M68" s="1" t="str">
        <f>IF(AND(F68="SOLD",G68='Team View'!$B$3),COUNTIFS($F$4:F68,"SOLD",$G$4:G68,'Team View'!$B$3),"")</f>
        <v/>
      </c>
    </row>
    <row r="69" spans="1:13">
      <c r="A69" s="1" t="str">
        <f t="shared" si="1"/>
        <v/>
      </c>
      <c r="B69" s="1"/>
      <c r="C69" s="1"/>
      <c r="D69" s="1"/>
      <c r="E69" s="7"/>
      <c r="F69" s="1"/>
      <c r="G69" s="1"/>
      <c r="H69" s="7"/>
      <c r="I69" s="1"/>
      <c r="J69" s="1" t="str">
        <f>IF(B69="","",IF(F69&lt;&gt;"SOLD","",IF(OR(G69="",H69=""),"SELECT TEAM &amp; PRICE",IFERROR(IF(H69&gt;INDEX(Teams!$B$4:$B$13,MATCH(G69,Teams!$A$4:$A$13,0))-SUMIFS($H$4:$H$503,$G$4:$G$503,G69,$F$4:$F$503,"SOLD",$A$4:$A$503,"&lt;&gt;"&amp;A69),"OVER BUDGET","OK"),"INVALID TEAM"))))</f>
        <v/>
      </c>
      <c r="K69" s="1" t="str">
        <f>IF(F69="SOLD",COUNTIF($F$4:F69,"SOLD"),"")</f>
        <v/>
      </c>
      <c r="L69" s="1" t="str">
        <f>IF(F69="UNSOLD",COUNTIF($F$4:F69,"UNSOLD"),"")</f>
        <v/>
      </c>
      <c r="M69" s="1" t="str">
        <f>IF(AND(F69="SOLD",G69='Team View'!$B$3),COUNTIFS($F$4:F69,"SOLD",$G$4:G69,'Team View'!$B$3),"")</f>
        <v/>
      </c>
    </row>
    <row r="70" spans="1:13">
      <c r="A70" s="1" t="str">
        <f t="shared" si="1"/>
        <v/>
      </c>
      <c r="B70" s="1"/>
      <c r="C70" s="1"/>
      <c r="D70" s="1"/>
      <c r="E70" s="7"/>
      <c r="F70" s="1"/>
      <c r="G70" s="1"/>
      <c r="H70" s="7"/>
      <c r="I70" s="1"/>
      <c r="J70" s="1" t="str">
        <f>IF(B70="","",IF(F70&lt;&gt;"SOLD","",IF(OR(G70="",H70=""),"SELECT TEAM &amp; PRICE",IFERROR(IF(H70&gt;INDEX(Teams!$B$4:$B$13,MATCH(G70,Teams!$A$4:$A$13,0))-SUMIFS($H$4:$H$503,$G$4:$G$503,G70,$F$4:$F$503,"SOLD",$A$4:$A$503,"&lt;&gt;"&amp;A70),"OVER BUDGET","OK"),"INVALID TEAM"))))</f>
        <v/>
      </c>
      <c r="K70" s="1" t="str">
        <f>IF(F70="SOLD",COUNTIF($F$4:F70,"SOLD"),"")</f>
        <v/>
      </c>
      <c r="L70" s="1" t="str">
        <f>IF(F70="UNSOLD",COUNTIF($F$4:F70,"UNSOLD"),"")</f>
        <v/>
      </c>
      <c r="M70" s="1" t="str">
        <f>IF(AND(F70="SOLD",G70='Team View'!$B$3),COUNTIFS($F$4:F70,"SOLD",$G$4:G70,'Team View'!$B$3),"")</f>
        <v/>
      </c>
    </row>
    <row r="71" spans="1:13">
      <c r="A71" s="1" t="str">
        <f t="shared" si="1"/>
        <v/>
      </c>
      <c r="B71" s="1"/>
      <c r="C71" s="1"/>
      <c r="D71" s="1"/>
      <c r="E71" s="7"/>
      <c r="F71" s="1"/>
      <c r="G71" s="1"/>
      <c r="H71" s="7"/>
      <c r="I71" s="1"/>
      <c r="J71" s="1" t="str">
        <f>IF(B71="","",IF(F71&lt;&gt;"SOLD","",IF(OR(G71="",H71=""),"SELECT TEAM &amp; PRICE",IFERROR(IF(H71&gt;INDEX(Teams!$B$4:$B$13,MATCH(G71,Teams!$A$4:$A$13,0))-SUMIFS($H$4:$H$503,$G$4:$G$503,G71,$F$4:$F$503,"SOLD",$A$4:$A$503,"&lt;&gt;"&amp;A71),"OVER BUDGET","OK"),"INVALID TEAM"))))</f>
        <v/>
      </c>
      <c r="K71" s="1" t="str">
        <f>IF(F71="SOLD",COUNTIF($F$4:F71,"SOLD"),"")</f>
        <v/>
      </c>
      <c r="L71" s="1" t="str">
        <f>IF(F71="UNSOLD",COUNTIF($F$4:F71,"UNSOLD"),"")</f>
        <v/>
      </c>
      <c r="M71" s="1" t="str">
        <f>IF(AND(F71="SOLD",G71='Team View'!$B$3),COUNTIFS($F$4:F71,"SOLD",$G$4:G71,'Team View'!$B$3),"")</f>
        <v/>
      </c>
    </row>
    <row r="72" spans="1:13">
      <c r="A72" s="1" t="str">
        <f t="shared" si="1"/>
        <v/>
      </c>
      <c r="B72" s="1"/>
      <c r="C72" s="1"/>
      <c r="D72" s="1"/>
      <c r="E72" s="7"/>
      <c r="F72" s="1"/>
      <c r="G72" s="1"/>
      <c r="H72" s="7"/>
      <c r="I72" s="1"/>
      <c r="J72" s="1" t="str">
        <f>IF(B72="","",IF(F72&lt;&gt;"SOLD","",IF(OR(G72="",H72=""),"SELECT TEAM &amp; PRICE",IFERROR(IF(H72&gt;INDEX(Teams!$B$4:$B$13,MATCH(G72,Teams!$A$4:$A$13,0))-SUMIFS($H$4:$H$503,$G$4:$G$503,G72,$F$4:$F$503,"SOLD",$A$4:$A$503,"&lt;&gt;"&amp;A72),"OVER BUDGET","OK"),"INVALID TEAM"))))</f>
        <v/>
      </c>
      <c r="K72" s="1" t="str">
        <f>IF(F72="SOLD",COUNTIF($F$4:F72,"SOLD"),"")</f>
        <v/>
      </c>
      <c r="L72" s="1" t="str">
        <f>IF(F72="UNSOLD",COUNTIF($F$4:F72,"UNSOLD"),"")</f>
        <v/>
      </c>
      <c r="M72" s="1" t="str">
        <f>IF(AND(F72="SOLD",G72='Team View'!$B$3),COUNTIFS($F$4:F72,"SOLD",$G$4:G72,'Team View'!$B$3),"")</f>
        <v/>
      </c>
    </row>
    <row r="73" spans="1:13">
      <c r="A73" s="1" t="str">
        <f t="shared" si="1"/>
        <v/>
      </c>
      <c r="B73" s="1"/>
      <c r="C73" s="1"/>
      <c r="D73" s="1"/>
      <c r="E73" s="7"/>
      <c r="F73" s="1"/>
      <c r="G73" s="1"/>
      <c r="H73" s="7"/>
      <c r="I73" s="1"/>
      <c r="J73" s="1" t="str">
        <f>IF(B73="","",IF(F73&lt;&gt;"SOLD","",IF(OR(G73="",H73=""),"SELECT TEAM &amp; PRICE",IFERROR(IF(H73&gt;INDEX(Teams!$B$4:$B$13,MATCH(G73,Teams!$A$4:$A$13,0))-SUMIFS($H$4:$H$503,$G$4:$G$503,G73,$F$4:$F$503,"SOLD",$A$4:$A$503,"&lt;&gt;"&amp;A73),"OVER BUDGET","OK"),"INVALID TEAM"))))</f>
        <v/>
      </c>
      <c r="K73" s="1" t="str">
        <f>IF(F73="SOLD",COUNTIF($F$4:F73,"SOLD"),"")</f>
        <v/>
      </c>
      <c r="L73" s="1" t="str">
        <f>IF(F73="UNSOLD",COUNTIF($F$4:F73,"UNSOLD"),"")</f>
        <v/>
      </c>
      <c r="M73" s="1" t="str">
        <f>IF(AND(F73="SOLD",G73='Team View'!$B$3),COUNTIFS($F$4:F73,"SOLD",$G$4:G73,'Team View'!$B$3),"")</f>
        <v/>
      </c>
    </row>
    <row r="74" spans="1:13">
      <c r="A74" s="1" t="str">
        <f t="shared" si="1"/>
        <v/>
      </c>
      <c r="B74" s="1"/>
      <c r="C74" s="1"/>
      <c r="D74" s="1"/>
      <c r="E74" s="7"/>
      <c r="F74" s="1"/>
      <c r="G74" s="1"/>
      <c r="H74" s="7"/>
      <c r="I74" s="1"/>
      <c r="J74" s="1" t="str">
        <f>IF(B74="","",IF(F74&lt;&gt;"SOLD","",IF(OR(G74="",H74=""),"SELECT TEAM &amp; PRICE",IFERROR(IF(H74&gt;INDEX(Teams!$B$4:$B$13,MATCH(G74,Teams!$A$4:$A$13,0))-SUMIFS($H$4:$H$503,$G$4:$G$503,G74,$F$4:$F$503,"SOLD",$A$4:$A$503,"&lt;&gt;"&amp;A74),"OVER BUDGET","OK"),"INVALID TEAM"))))</f>
        <v/>
      </c>
      <c r="K74" s="1" t="str">
        <f>IF(F74="SOLD",COUNTIF($F$4:F74,"SOLD"),"")</f>
        <v/>
      </c>
      <c r="L74" s="1" t="str">
        <f>IF(F74="UNSOLD",COUNTIF($F$4:F74,"UNSOLD"),"")</f>
        <v/>
      </c>
      <c r="M74" s="1" t="str">
        <f>IF(AND(F74="SOLD",G74='Team View'!$B$3),COUNTIFS($F$4:F74,"SOLD",$G$4:G74,'Team View'!$B$3),"")</f>
        <v/>
      </c>
    </row>
    <row r="75" spans="1:13">
      <c r="A75" s="1" t="str">
        <f t="shared" si="1"/>
        <v/>
      </c>
      <c r="B75" s="1"/>
      <c r="C75" s="1"/>
      <c r="D75" s="1"/>
      <c r="E75" s="7"/>
      <c r="F75" s="1"/>
      <c r="G75" s="1"/>
      <c r="H75" s="7"/>
      <c r="I75" s="1"/>
      <c r="J75" s="1" t="str">
        <f>IF(B75="","",IF(F75&lt;&gt;"SOLD","",IF(OR(G75="",H75=""),"SELECT TEAM &amp; PRICE",IFERROR(IF(H75&gt;INDEX(Teams!$B$4:$B$13,MATCH(G75,Teams!$A$4:$A$13,0))-SUMIFS($H$4:$H$503,$G$4:$G$503,G75,$F$4:$F$503,"SOLD",$A$4:$A$503,"&lt;&gt;"&amp;A75),"OVER BUDGET","OK"),"INVALID TEAM"))))</f>
        <v/>
      </c>
      <c r="K75" s="1" t="str">
        <f>IF(F75="SOLD",COUNTIF($F$4:F75,"SOLD"),"")</f>
        <v/>
      </c>
      <c r="L75" s="1" t="str">
        <f>IF(F75="UNSOLD",COUNTIF($F$4:F75,"UNSOLD"),"")</f>
        <v/>
      </c>
      <c r="M75" s="1" t="str">
        <f>IF(AND(F75="SOLD",G75='Team View'!$B$3),COUNTIFS($F$4:F75,"SOLD",$G$4:G75,'Team View'!$B$3),"")</f>
        <v/>
      </c>
    </row>
    <row r="76" spans="1:13">
      <c r="A76" s="1" t="str">
        <f t="shared" si="1"/>
        <v/>
      </c>
      <c r="B76" s="1"/>
      <c r="C76" s="1"/>
      <c r="D76" s="1"/>
      <c r="E76" s="7"/>
      <c r="F76" s="1"/>
      <c r="G76" s="1"/>
      <c r="H76" s="7"/>
      <c r="I76" s="1"/>
      <c r="J76" s="1" t="str">
        <f>IF(B76="","",IF(F76&lt;&gt;"SOLD","",IF(OR(G76="",H76=""),"SELECT TEAM &amp; PRICE",IFERROR(IF(H76&gt;INDEX(Teams!$B$4:$B$13,MATCH(G76,Teams!$A$4:$A$13,0))-SUMIFS($H$4:$H$503,$G$4:$G$503,G76,$F$4:$F$503,"SOLD",$A$4:$A$503,"&lt;&gt;"&amp;A76),"OVER BUDGET","OK"),"INVALID TEAM"))))</f>
        <v/>
      </c>
      <c r="K76" s="1" t="str">
        <f>IF(F76="SOLD",COUNTIF($F$4:F76,"SOLD"),"")</f>
        <v/>
      </c>
      <c r="L76" s="1" t="str">
        <f>IF(F76="UNSOLD",COUNTIF($F$4:F76,"UNSOLD"),"")</f>
        <v/>
      </c>
      <c r="M76" s="1" t="str">
        <f>IF(AND(F76="SOLD",G76='Team View'!$B$3),COUNTIFS($F$4:F76,"SOLD",$G$4:G76,'Team View'!$B$3),"")</f>
        <v/>
      </c>
    </row>
    <row r="77" spans="1:13">
      <c r="A77" s="1" t="str">
        <f t="shared" si="1"/>
        <v/>
      </c>
      <c r="B77" s="1"/>
      <c r="C77" s="1"/>
      <c r="D77" s="1"/>
      <c r="E77" s="7"/>
      <c r="F77" s="1"/>
      <c r="G77" s="1"/>
      <c r="H77" s="7"/>
      <c r="I77" s="1"/>
      <c r="J77" s="1" t="str">
        <f>IF(B77="","",IF(F77&lt;&gt;"SOLD","",IF(OR(G77="",H77=""),"SELECT TEAM &amp; PRICE",IFERROR(IF(H77&gt;INDEX(Teams!$B$4:$B$13,MATCH(G77,Teams!$A$4:$A$13,0))-SUMIFS($H$4:$H$503,$G$4:$G$503,G77,$F$4:$F$503,"SOLD",$A$4:$A$503,"&lt;&gt;"&amp;A77),"OVER BUDGET","OK"),"INVALID TEAM"))))</f>
        <v/>
      </c>
      <c r="K77" s="1" t="str">
        <f>IF(F77="SOLD",COUNTIF($F$4:F77,"SOLD"),"")</f>
        <v/>
      </c>
      <c r="L77" s="1" t="str">
        <f>IF(F77="UNSOLD",COUNTIF($F$4:F77,"UNSOLD"),"")</f>
        <v/>
      </c>
      <c r="M77" s="1" t="str">
        <f>IF(AND(F77="SOLD",G77='Team View'!$B$3),COUNTIFS($F$4:F77,"SOLD",$G$4:G77,'Team View'!$B$3),"")</f>
        <v/>
      </c>
    </row>
    <row r="78" spans="1:13">
      <c r="A78" s="1" t="str">
        <f t="shared" si="1"/>
        <v/>
      </c>
      <c r="B78" s="1"/>
      <c r="C78" s="1"/>
      <c r="D78" s="1"/>
      <c r="E78" s="7"/>
      <c r="F78" s="1"/>
      <c r="G78" s="1"/>
      <c r="H78" s="7"/>
      <c r="I78" s="1"/>
      <c r="J78" s="1" t="str">
        <f>IF(B78="","",IF(F78&lt;&gt;"SOLD","",IF(OR(G78="",H78=""),"SELECT TEAM &amp; PRICE",IFERROR(IF(H78&gt;INDEX(Teams!$B$4:$B$13,MATCH(G78,Teams!$A$4:$A$13,0))-SUMIFS($H$4:$H$503,$G$4:$G$503,G78,$F$4:$F$503,"SOLD",$A$4:$A$503,"&lt;&gt;"&amp;A78),"OVER BUDGET","OK"),"INVALID TEAM"))))</f>
        <v/>
      </c>
      <c r="K78" s="1" t="str">
        <f>IF(F78="SOLD",COUNTIF($F$4:F78,"SOLD"),"")</f>
        <v/>
      </c>
      <c r="L78" s="1" t="str">
        <f>IF(F78="UNSOLD",COUNTIF($F$4:F78,"UNSOLD"),"")</f>
        <v/>
      </c>
      <c r="M78" s="1" t="str">
        <f>IF(AND(F78="SOLD",G78='Team View'!$B$3),COUNTIFS($F$4:F78,"SOLD",$G$4:G78,'Team View'!$B$3),"")</f>
        <v/>
      </c>
    </row>
    <row r="79" spans="1:13">
      <c r="A79" s="1" t="str">
        <f t="shared" si="1"/>
        <v/>
      </c>
      <c r="B79" s="1"/>
      <c r="C79" s="1"/>
      <c r="D79" s="1"/>
      <c r="E79" s="7"/>
      <c r="F79" s="1"/>
      <c r="G79" s="1"/>
      <c r="H79" s="7"/>
      <c r="I79" s="1"/>
      <c r="J79" s="1" t="str">
        <f>IF(B79="","",IF(F79&lt;&gt;"SOLD","",IF(OR(G79="",H79=""),"SELECT TEAM &amp; PRICE",IFERROR(IF(H79&gt;INDEX(Teams!$B$4:$B$13,MATCH(G79,Teams!$A$4:$A$13,0))-SUMIFS($H$4:$H$503,$G$4:$G$503,G79,$F$4:$F$503,"SOLD",$A$4:$A$503,"&lt;&gt;"&amp;A79),"OVER BUDGET","OK"),"INVALID TEAM"))))</f>
        <v/>
      </c>
      <c r="K79" s="1" t="str">
        <f>IF(F79="SOLD",COUNTIF($F$4:F79,"SOLD"),"")</f>
        <v/>
      </c>
      <c r="L79" s="1" t="str">
        <f>IF(F79="UNSOLD",COUNTIF($F$4:F79,"UNSOLD"),"")</f>
        <v/>
      </c>
      <c r="M79" s="1" t="str">
        <f>IF(AND(F79="SOLD",G79='Team View'!$B$3),COUNTIFS($F$4:F79,"SOLD",$G$4:G79,'Team View'!$B$3),"")</f>
        <v/>
      </c>
    </row>
    <row r="80" spans="1:13">
      <c r="A80" s="1" t="str">
        <f t="shared" si="1"/>
        <v/>
      </c>
      <c r="B80" s="1"/>
      <c r="C80" s="1"/>
      <c r="D80" s="1"/>
      <c r="E80" s="7"/>
      <c r="F80" s="1"/>
      <c r="G80" s="1"/>
      <c r="H80" s="7"/>
      <c r="I80" s="1"/>
      <c r="J80" s="1" t="str">
        <f>IF(B80="","",IF(F80&lt;&gt;"SOLD","",IF(OR(G80="",H80=""),"SELECT TEAM &amp; PRICE",IFERROR(IF(H80&gt;INDEX(Teams!$B$4:$B$13,MATCH(G80,Teams!$A$4:$A$13,0))-SUMIFS($H$4:$H$503,$G$4:$G$503,G80,$F$4:$F$503,"SOLD",$A$4:$A$503,"&lt;&gt;"&amp;A80),"OVER BUDGET","OK"),"INVALID TEAM"))))</f>
        <v/>
      </c>
      <c r="K80" s="1" t="str">
        <f>IF(F80="SOLD",COUNTIF($F$4:F80,"SOLD"),"")</f>
        <v/>
      </c>
      <c r="L80" s="1" t="str">
        <f>IF(F80="UNSOLD",COUNTIF($F$4:F80,"UNSOLD"),"")</f>
        <v/>
      </c>
      <c r="M80" s="1" t="str">
        <f>IF(AND(F80="SOLD",G80='Team View'!$B$3),COUNTIFS($F$4:F80,"SOLD",$G$4:G80,'Team View'!$B$3),"")</f>
        <v/>
      </c>
    </row>
    <row r="81" spans="1:13">
      <c r="A81" s="1" t="str">
        <f t="shared" si="1"/>
        <v/>
      </c>
      <c r="B81" s="1"/>
      <c r="C81" s="1"/>
      <c r="D81" s="1"/>
      <c r="E81" s="7"/>
      <c r="F81" s="1"/>
      <c r="G81" s="1"/>
      <c r="H81" s="7"/>
      <c r="I81" s="1"/>
      <c r="J81" s="1" t="str">
        <f>IF(B81="","",IF(F81&lt;&gt;"SOLD","",IF(OR(G81="",H81=""),"SELECT TEAM &amp; PRICE",IFERROR(IF(H81&gt;INDEX(Teams!$B$4:$B$13,MATCH(G81,Teams!$A$4:$A$13,0))-SUMIFS($H$4:$H$503,$G$4:$G$503,G81,$F$4:$F$503,"SOLD",$A$4:$A$503,"&lt;&gt;"&amp;A81),"OVER BUDGET","OK"),"INVALID TEAM"))))</f>
        <v/>
      </c>
      <c r="K81" s="1" t="str">
        <f>IF(F81="SOLD",COUNTIF($F$4:F81,"SOLD"),"")</f>
        <v/>
      </c>
      <c r="L81" s="1" t="str">
        <f>IF(F81="UNSOLD",COUNTIF($F$4:F81,"UNSOLD"),"")</f>
        <v/>
      </c>
      <c r="M81" s="1" t="str">
        <f>IF(AND(F81="SOLD",G81='Team View'!$B$3),COUNTIFS($F$4:F81,"SOLD",$G$4:G81,'Team View'!$B$3),"")</f>
        <v/>
      </c>
    </row>
    <row r="82" spans="1:13">
      <c r="A82" s="1" t="str">
        <f t="shared" si="1"/>
        <v/>
      </c>
      <c r="B82" s="1"/>
      <c r="C82" s="1"/>
      <c r="D82" s="1"/>
      <c r="E82" s="7"/>
      <c r="F82" s="1"/>
      <c r="G82" s="1"/>
      <c r="H82" s="7"/>
      <c r="I82" s="1"/>
      <c r="J82" s="1" t="str">
        <f>IF(B82="","",IF(F82&lt;&gt;"SOLD","",IF(OR(G82="",H82=""),"SELECT TEAM &amp; PRICE",IFERROR(IF(H82&gt;INDEX(Teams!$B$4:$B$13,MATCH(G82,Teams!$A$4:$A$13,0))-SUMIFS($H$4:$H$503,$G$4:$G$503,G82,$F$4:$F$503,"SOLD",$A$4:$A$503,"&lt;&gt;"&amp;A82),"OVER BUDGET","OK"),"INVALID TEAM"))))</f>
        <v/>
      </c>
      <c r="K82" s="1" t="str">
        <f>IF(F82="SOLD",COUNTIF($F$4:F82,"SOLD"),"")</f>
        <v/>
      </c>
      <c r="L82" s="1" t="str">
        <f>IF(F82="UNSOLD",COUNTIF($F$4:F82,"UNSOLD"),"")</f>
        <v/>
      </c>
      <c r="M82" s="1" t="str">
        <f>IF(AND(F82="SOLD",G82='Team View'!$B$3),COUNTIFS($F$4:F82,"SOLD",$G$4:G82,'Team View'!$B$3),"")</f>
        <v/>
      </c>
    </row>
    <row r="83" spans="1:13">
      <c r="A83" s="1" t="str">
        <f t="shared" si="1"/>
        <v/>
      </c>
      <c r="B83" s="1"/>
      <c r="C83" s="1"/>
      <c r="D83" s="1"/>
      <c r="E83" s="7"/>
      <c r="F83" s="1"/>
      <c r="G83" s="1"/>
      <c r="H83" s="7"/>
      <c r="I83" s="1"/>
      <c r="J83" s="1" t="str">
        <f>IF(B83="","",IF(F83&lt;&gt;"SOLD","",IF(OR(G83="",H83=""),"SELECT TEAM &amp; PRICE",IFERROR(IF(H83&gt;INDEX(Teams!$B$4:$B$13,MATCH(G83,Teams!$A$4:$A$13,0))-SUMIFS($H$4:$H$503,$G$4:$G$503,G83,$F$4:$F$503,"SOLD",$A$4:$A$503,"&lt;&gt;"&amp;A83),"OVER BUDGET","OK"),"INVALID TEAM"))))</f>
        <v/>
      </c>
      <c r="K83" s="1" t="str">
        <f>IF(F83="SOLD",COUNTIF($F$4:F83,"SOLD"),"")</f>
        <v/>
      </c>
      <c r="L83" s="1" t="str">
        <f>IF(F83="UNSOLD",COUNTIF($F$4:F83,"UNSOLD"),"")</f>
        <v/>
      </c>
      <c r="M83" s="1" t="str">
        <f>IF(AND(F83="SOLD",G83='Team View'!$B$3),COUNTIFS($F$4:F83,"SOLD",$G$4:G83,'Team View'!$B$3),"")</f>
        <v/>
      </c>
    </row>
    <row r="84" spans="1:13">
      <c r="A84" s="1" t="str">
        <f t="shared" si="1"/>
        <v/>
      </c>
      <c r="B84" s="1"/>
      <c r="C84" s="1"/>
      <c r="D84" s="1"/>
      <c r="E84" s="7"/>
      <c r="F84" s="1"/>
      <c r="G84" s="1"/>
      <c r="H84" s="7"/>
      <c r="I84" s="1"/>
      <c r="J84" s="1" t="str">
        <f>IF(B84="","",IF(F84&lt;&gt;"SOLD","",IF(OR(G84="",H84=""),"SELECT TEAM &amp; PRICE",IFERROR(IF(H84&gt;INDEX(Teams!$B$4:$B$13,MATCH(G84,Teams!$A$4:$A$13,0))-SUMIFS($H$4:$H$503,$G$4:$G$503,G84,$F$4:$F$503,"SOLD",$A$4:$A$503,"&lt;&gt;"&amp;A84),"OVER BUDGET","OK"),"INVALID TEAM"))))</f>
        <v/>
      </c>
      <c r="K84" s="1" t="str">
        <f>IF(F84="SOLD",COUNTIF($F$4:F84,"SOLD"),"")</f>
        <v/>
      </c>
      <c r="L84" s="1" t="str">
        <f>IF(F84="UNSOLD",COUNTIF($F$4:F84,"UNSOLD"),"")</f>
        <v/>
      </c>
      <c r="M84" s="1" t="str">
        <f>IF(AND(F84="SOLD",G84='Team View'!$B$3),COUNTIFS($F$4:F84,"SOLD",$G$4:G84,'Team View'!$B$3),"")</f>
        <v/>
      </c>
    </row>
    <row r="85" spans="1:13">
      <c r="A85" s="1" t="str">
        <f t="shared" si="1"/>
        <v/>
      </c>
      <c r="B85" s="1"/>
      <c r="C85" s="1"/>
      <c r="D85" s="1"/>
      <c r="E85" s="7"/>
      <c r="F85" s="1"/>
      <c r="G85" s="1"/>
      <c r="H85" s="7"/>
      <c r="I85" s="1"/>
      <c r="J85" s="1" t="str">
        <f>IF(B85="","",IF(F85&lt;&gt;"SOLD","",IF(OR(G85="",H85=""),"SELECT TEAM &amp; PRICE",IFERROR(IF(H85&gt;INDEX(Teams!$B$4:$B$13,MATCH(G85,Teams!$A$4:$A$13,0))-SUMIFS($H$4:$H$503,$G$4:$G$503,G85,$F$4:$F$503,"SOLD",$A$4:$A$503,"&lt;&gt;"&amp;A85),"OVER BUDGET","OK"),"INVALID TEAM"))))</f>
        <v/>
      </c>
      <c r="K85" s="1" t="str">
        <f>IF(F85="SOLD",COUNTIF($F$4:F85,"SOLD"),"")</f>
        <v/>
      </c>
      <c r="L85" s="1" t="str">
        <f>IF(F85="UNSOLD",COUNTIF($F$4:F85,"UNSOLD"),"")</f>
        <v/>
      </c>
      <c r="M85" s="1" t="str">
        <f>IF(AND(F85="SOLD",G85='Team View'!$B$3),COUNTIFS($F$4:F85,"SOLD",$G$4:G85,'Team View'!$B$3),"")</f>
        <v/>
      </c>
    </row>
    <row r="86" spans="1:13">
      <c r="A86" s="1" t="str">
        <f t="shared" si="1"/>
        <v/>
      </c>
      <c r="B86" s="1"/>
      <c r="C86" s="1"/>
      <c r="D86" s="1"/>
      <c r="E86" s="7"/>
      <c r="F86" s="1"/>
      <c r="G86" s="1"/>
      <c r="H86" s="7"/>
      <c r="I86" s="1"/>
      <c r="J86" s="1" t="str">
        <f>IF(B86="","",IF(F86&lt;&gt;"SOLD","",IF(OR(G86="",H86=""),"SELECT TEAM &amp; PRICE",IFERROR(IF(H86&gt;INDEX(Teams!$B$4:$B$13,MATCH(G86,Teams!$A$4:$A$13,0))-SUMIFS($H$4:$H$503,$G$4:$G$503,G86,$F$4:$F$503,"SOLD",$A$4:$A$503,"&lt;&gt;"&amp;A86),"OVER BUDGET","OK"),"INVALID TEAM"))))</f>
        <v/>
      </c>
      <c r="K86" s="1" t="str">
        <f>IF(F86="SOLD",COUNTIF($F$4:F86,"SOLD"),"")</f>
        <v/>
      </c>
      <c r="L86" s="1" t="str">
        <f>IF(F86="UNSOLD",COUNTIF($F$4:F86,"UNSOLD"),"")</f>
        <v/>
      </c>
      <c r="M86" s="1" t="str">
        <f>IF(AND(F86="SOLD",G86='Team View'!$B$3),COUNTIFS($F$4:F86,"SOLD",$G$4:G86,'Team View'!$B$3),"")</f>
        <v/>
      </c>
    </row>
    <row r="87" spans="1:13">
      <c r="A87" s="1" t="str">
        <f t="shared" si="1"/>
        <v/>
      </c>
      <c r="B87" s="1"/>
      <c r="C87" s="1"/>
      <c r="D87" s="1"/>
      <c r="E87" s="7"/>
      <c r="F87" s="1"/>
      <c r="G87" s="1"/>
      <c r="H87" s="7"/>
      <c r="I87" s="1"/>
      <c r="J87" s="1" t="str">
        <f>IF(B87="","",IF(F87&lt;&gt;"SOLD","",IF(OR(G87="",H87=""),"SELECT TEAM &amp; PRICE",IFERROR(IF(H87&gt;INDEX(Teams!$B$4:$B$13,MATCH(G87,Teams!$A$4:$A$13,0))-SUMIFS($H$4:$H$503,$G$4:$G$503,G87,$F$4:$F$503,"SOLD",$A$4:$A$503,"&lt;&gt;"&amp;A87),"OVER BUDGET","OK"),"INVALID TEAM"))))</f>
        <v/>
      </c>
      <c r="K87" s="1" t="str">
        <f>IF(F87="SOLD",COUNTIF($F$4:F87,"SOLD"),"")</f>
        <v/>
      </c>
      <c r="L87" s="1" t="str">
        <f>IF(F87="UNSOLD",COUNTIF($F$4:F87,"UNSOLD"),"")</f>
        <v/>
      </c>
      <c r="M87" s="1" t="str">
        <f>IF(AND(F87="SOLD",G87='Team View'!$B$3),COUNTIFS($F$4:F87,"SOLD",$G$4:G87,'Team View'!$B$3),"")</f>
        <v/>
      </c>
    </row>
    <row r="88" spans="1:13">
      <c r="A88" s="1" t="str">
        <f t="shared" si="1"/>
        <v/>
      </c>
      <c r="B88" s="1"/>
      <c r="C88" s="1"/>
      <c r="D88" s="1"/>
      <c r="E88" s="7"/>
      <c r="F88" s="1"/>
      <c r="G88" s="1"/>
      <c r="H88" s="7"/>
      <c r="I88" s="1"/>
      <c r="J88" s="1" t="str">
        <f>IF(B88="","",IF(F88&lt;&gt;"SOLD","",IF(OR(G88="",H88=""),"SELECT TEAM &amp; PRICE",IFERROR(IF(H88&gt;INDEX(Teams!$B$4:$B$13,MATCH(G88,Teams!$A$4:$A$13,0))-SUMIFS($H$4:$H$503,$G$4:$G$503,G88,$F$4:$F$503,"SOLD",$A$4:$A$503,"&lt;&gt;"&amp;A88),"OVER BUDGET","OK"),"INVALID TEAM"))))</f>
        <v/>
      </c>
      <c r="K88" s="1" t="str">
        <f>IF(F88="SOLD",COUNTIF($F$4:F88,"SOLD"),"")</f>
        <v/>
      </c>
      <c r="L88" s="1" t="str">
        <f>IF(F88="UNSOLD",COUNTIF($F$4:F88,"UNSOLD"),"")</f>
        <v/>
      </c>
      <c r="M88" s="1" t="str">
        <f>IF(AND(F88="SOLD",G88='Team View'!$B$3),COUNTIFS($F$4:F88,"SOLD",$G$4:G88,'Team View'!$B$3),"")</f>
        <v/>
      </c>
    </row>
    <row r="89" spans="1:13">
      <c r="A89" s="1" t="str">
        <f t="shared" si="1"/>
        <v/>
      </c>
      <c r="B89" s="1"/>
      <c r="C89" s="1"/>
      <c r="D89" s="1"/>
      <c r="E89" s="7"/>
      <c r="F89" s="1"/>
      <c r="G89" s="1"/>
      <c r="H89" s="7"/>
      <c r="I89" s="1"/>
      <c r="J89" s="1" t="str">
        <f>IF(B89="","",IF(F89&lt;&gt;"SOLD","",IF(OR(G89="",H89=""),"SELECT TEAM &amp; PRICE",IFERROR(IF(H89&gt;INDEX(Teams!$B$4:$B$13,MATCH(G89,Teams!$A$4:$A$13,0))-SUMIFS($H$4:$H$503,$G$4:$G$503,G89,$F$4:$F$503,"SOLD",$A$4:$A$503,"&lt;&gt;"&amp;A89),"OVER BUDGET","OK"),"INVALID TEAM"))))</f>
        <v/>
      </c>
      <c r="K89" s="1" t="str">
        <f>IF(F89="SOLD",COUNTIF($F$4:F89,"SOLD"),"")</f>
        <v/>
      </c>
      <c r="L89" s="1" t="str">
        <f>IF(F89="UNSOLD",COUNTIF($F$4:F89,"UNSOLD"),"")</f>
        <v/>
      </c>
      <c r="M89" s="1" t="str">
        <f>IF(AND(F89="SOLD",G89='Team View'!$B$3),COUNTIFS($F$4:F89,"SOLD",$G$4:G89,'Team View'!$B$3),"")</f>
        <v/>
      </c>
    </row>
    <row r="90" spans="1:13">
      <c r="A90" s="1" t="str">
        <f t="shared" si="1"/>
        <v/>
      </c>
      <c r="B90" s="1"/>
      <c r="C90" s="1"/>
      <c r="D90" s="1"/>
      <c r="E90" s="7"/>
      <c r="F90" s="1"/>
      <c r="G90" s="1"/>
      <c r="H90" s="7"/>
      <c r="I90" s="1"/>
      <c r="J90" s="1" t="str">
        <f>IF(B90="","",IF(F90&lt;&gt;"SOLD","",IF(OR(G90="",H90=""),"SELECT TEAM &amp; PRICE",IFERROR(IF(H90&gt;INDEX(Teams!$B$4:$B$13,MATCH(G90,Teams!$A$4:$A$13,0))-SUMIFS($H$4:$H$503,$G$4:$G$503,G90,$F$4:$F$503,"SOLD",$A$4:$A$503,"&lt;&gt;"&amp;A90),"OVER BUDGET","OK"),"INVALID TEAM"))))</f>
        <v/>
      </c>
      <c r="K90" s="1" t="str">
        <f>IF(F90="SOLD",COUNTIF($F$4:F90,"SOLD"),"")</f>
        <v/>
      </c>
      <c r="L90" s="1" t="str">
        <f>IF(F90="UNSOLD",COUNTIF($F$4:F90,"UNSOLD"),"")</f>
        <v/>
      </c>
      <c r="M90" s="1" t="str">
        <f>IF(AND(F90="SOLD",G90='Team View'!$B$3),COUNTIFS($F$4:F90,"SOLD",$G$4:G90,'Team View'!$B$3),"")</f>
        <v/>
      </c>
    </row>
    <row r="91" spans="1:13">
      <c r="A91" s="1" t="str">
        <f t="shared" si="1"/>
        <v/>
      </c>
      <c r="B91" s="1"/>
      <c r="C91" s="1"/>
      <c r="D91" s="1"/>
      <c r="E91" s="7"/>
      <c r="F91" s="1"/>
      <c r="G91" s="1"/>
      <c r="H91" s="7"/>
      <c r="I91" s="1"/>
      <c r="J91" s="1" t="str">
        <f>IF(B91="","",IF(F91&lt;&gt;"SOLD","",IF(OR(G91="",H91=""),"SELECT TEAM &amp; PRICE",IFERROR(IF(H91&gt;INDEX(Teams!$B$4:$B$13,MATCH(G91,Teams!$A$4:$A$13,0))-SUMIFS($H$4:$H$503,$G$4:$G$503,G91,$F$4:$F$503,"SOLD",$A$4:$A$503,"&lt;&gt;"&amp;A91),"OVER BUDGET","OK"),"INVALID TEAM"))))</f>
        <v/>
      </c>
      <c r="K91" s="1" t="str">
        <f>IF(F91="SOLD",COUNTIF($F$4:F91,"SOLD"),"")</f>
        <v/>
      </c>
      <c r="L91" s="1" t="str">
        <f>IF(F91="UNSOLD",COUNTIF($F$4:F91,"UNSOLD"),"")</f>
        <v/>
      </c>
      <c r="M91" s="1" t="str">
        <f>IF(AND(F91="SOLD",G91='Team View'!$B$3),COUNTIFS($F$4:F91,"SOLD",$G$4:G91,'Team View'!$B$3),"")</f>
        <v/>
      </c>
    </row>
    <row r="92" spans="1:13">
      <c r="A92" s="1" t="str">
        <f t="shared" si="1"/>
        <v/>
      </c>
      <c r="B92" s="1"/>
      <c r="C92" s="1"/>
      <c r="D92" s="1"/>
      <c r="E92" s="7"/>
      <c r="F92" s="1"/>
      <c r="G92" s="1"/>
      <c r="H92" s="7"/>
      <c r="I92" s="1"/>
      <c r="J92" s="1" t="str">
        <f>IF(B92="","",IF(F92&lt;&gt;"SOLD","",IF(OR(G92="",H92=""),"SELECT TEAM &amp; PRICE",IFERROR(IF(H92&gt;INDEX(Teams!$B$4:$B$13,MATCH(G92,Teams!$A$4:$A$13,0))-SUMIFS($H$4:$H$503,$G$4:$G$503,G92,$F$4:$F$503,"SOLD",$A$4:$A$503,"&lt;&gt;"&amp;A92),"OVER BUDGET","OK"),"INVALID TEAM"))))</f>
        <v/>
      </c>
      <c r="K92" s="1" t="str">
        <f>IF(F92="SOLD",COUNTIF($F$4:F92,"SOLD"),"")</f>
        <v/>
      </c>
      <c r="L92" s="1" t="str">
        <f>IF(F92="UNSOLD",COUNTIF($F$4:F92,"UNSOLD"),"")</f>
        <v/>
      </c>
      <c r="M92" s="1" t="str">
        <f>IF(AND(F92="SOLD",G92='Team View'!$B$3),COUNTIFS($F$4:F92,"SOLD",$G$4:G92,'Team View'!$B$3),"")</f>
        <v/>
      </c>
    </row>
    <row r="93" spans="1:13">
      <c r="A93" s="1" t="str">
        <f t="shared" si="1"/>
        <v/>
      </c>
      <c r="B93" s="1"/>
      <c r="C93" s="1"/>
      <c r="D93" s="1"/>
      <c r="E93" s="7"/>
      <c r="F93" s="1"/>
      <c r="G93" s="1"/>
      <c r="H93" s="7"/>
      <c r="I93" s="1"/>
      <c r="J93" s="1" t="str">
        <f>IF(B93="","",IF(F93&lt;&gt;"SOLD","",IF(OR(G93="",H93=""),"SELECT TEAM &amp; PRICE",IFERROR(IF(H93&gt;INDEX(Teams!$B$4:$B$13,MATCH(G93,Teams!$A$4:$A$13,0))-SUMIFS($H$4:$H$503,$G$4:$G$503,G93,$F$4:$F$503,"SOLD",$A$4:$A$503,"&lt;&gt;"&amp;A93),"OVER BUDGET","OK"),"INVALID TEAM"))))</f>
        <v/>
      </c>
      <c r="K93" s="1" t="str">
        <f>IF(F93="SOLD",COUNTIF($F$4:F93,"SOLD"),"")</f>
        <v/>
      </c>
      <c r="L93" s="1" t="str">
        <f>IF(F93="UNSOLD",COUNTIF($F$4:F93,"UNSOLD"),"")</f>
        <v/>
      </c>
      <c r="M93" s="1" t="str">
        <f>IF(AND(F93="SOLD",G93='Team View'!$B$3),COUNTIFS($F$4:F93,"SOLD",$G$4:G93,'Team View'!$B$3),"")</f>
        <v/>
      </c>
    </row>
    <row r="94" spans="1:13">
      <c r="A94" s="1" t="str">
        <f t="shared" si="1"/>
        <v/>
      </c>
      <c r="B94" s="1"/>
      <c r="C94" s="1"/>
      <c r="D94" s="1"/>
      <c r="E94" s="7"/>
      <c r="F94" s="1"/>
      <c r="G94" s="1"/>
      <c r="H94" s="7"/>
      <c r="I94" s="1"/>
      <c r="J94" s="1" t="str">
        <f>IF(B94="","",IF(F94&lt;&gt;"SOLD","",IF(OR(G94="",H94=""),"SELECT TEAM &amp; PRICE",IFERROR(IF(H94&gt;INDEX(Teams!$B$4:$B$13,MATCH(G94,Teams!$A$4:$A$13,0))-SUMIFS($H$4:$H$503,$G$4:$G$503,G94,$F$4:$F$503,"SOLD",$A$4:$A$503,"&lt;&gt;"&amp;A94),"OVER BUDGET","OK"),"INVALID TEAM"))))</f>
        <v/>
      </c>
      <c r="K94" s="1" t="str">
        <f>IF(F94="SOLD",COUNTIF($F$4:F94,"SOLD"),"")</f>
        <v/>
      </c>
      <c r="L94" s="1" t="str">
        <f>IF(F94="UNSOLD",COUNTIF($F$4:F94,"UNSOLD"),"")</f>
        <v/>
      </c>
      <c r="M94" s="1" t="str">
        <f>IF(AND(F94="SOLD",G94='Team View'!$B$3),COUNTIFS($F$4:F94,"SOLD",$G$4:G94,'Team View'!$B$3),"")</f>
        <v/>
      </c>
    </row>
    <row r="95" spans="1:13">
      <c r="A95" s="1" t="str">
        <f t="shared" si="1"/>
        <v/>
      </c>
      <c r="B95" s="1"/>
      <c r="C95" s="1"/>
      <c r="D95" s="1"/>
      <c r="E95" s="7"/>
      <c r="F95" s="1"/>
      <c r="G95" s="1"/>
      <c r="H95" s="7"/>
      <c r="I95" s="1"/>
      <c r="J95" s="1" t="str">
        <f>IF(B95="","",IF(F95&lt;&gt;"SOLD","",IF(OR(G95="",H95=""),"SELECT TEAM &amp; PRICE",IFERROR(IF(H95&gt;INDEX(Teams!$B$4:$B$13,MATCH(G95,Teams!$A$4:$A$13,0))-SUMIFS($H$4:$H$503,$G$4:$G$503,G95,$F$4:$F$503,"SOLD",$A$4:$A$503,"&lt;&gt;"&amp;A95),"OVER BUDGET","OK"),"INVALID TEAM"))))</f>
        <v/>
      </c>
      <c r="K95" s="1" t="str">
        <f>IF(F95="SOLD",COUNTIF($F$4:F95,"SOLD"),"")</f>
        <v/>
      </c>
      <c r="L95" s="1" t="str">
        <f>IF(F95="UNSOLD",COUNTIF($F$4:F95,"UNSOLD"),"")</f>
        <v/>
      </c>
      <c r="M95" s="1" t="str">
        <f>IF(AND(F95="SOLD",G95='Team View'!$B$3),COUNTIFS($F$4:F95,"SOLD",$G$4:G95,'Team View'!$B$3),"")</f>
        <v/>
      </c>
    </row>
    <row r="96" spans="1:13">
      <c r="A96" s="1" t="str">
        <f t="shared" si="1"/>
        <v/>
      </c>
      <c r="B96" s="1"/>
      <c r="C96" s="1"/>
      <c r="D96" s="1"/>
      <c r="E96" s="7"/>
      <c r="F96" s="1"/>
      <c r="G96" s="1"/>
      <c r="H96" s="7"/>
      <c r="I96" s="1"/>
      <c r="J96" s="1" t="str">
        <f>IF(B96="","",IF(F96&lt;&gt;"SOLD","",IF(OR(G96="",H96=""),"SELECT TEAM &amp; PRICE",IFERROR(IF(H96&gt;INDEX(Teams!$B$4:$B$13,MATCH(G96,Teams!$A$4:$A$13,0))-SUMIFS($H$4:$H$503,$G$4:$G$503,G96,$F$4:$F$503,"SOLD",$A$4:$A$503,"&lt;&gt;"&amp;A96),"OVER BUDGET","OK"),"INVALID TEAM"))))</f>
        <v/>
      </c>
      <c r="K96" s="1" t="str">
        <f>IF(F96="SOLD",COUNTIF($F$4:F96,"SOLD"),"")</f>
        <v/>
      </c>
      <c r="L96" s="1" t="str">
        <f>IF(F96="UNSOLD",COUNTIF($F$4:F96,"UNSOLD"),"")</f>
        <v/>
      </c>
      <c r="M96" s="1" t="str">
        <f>IF(AND(F96="SOLD",G96='Team View'!$B$3),COUNTIFS($F$4:F96,"SOLD",$G$4:G96,'Team View'!$B$3),"")</f>
        <v/>
      </c>
    </row>
    <row r="97" spans="1:13">
      <c r="A97" s="1" t="str">
        <f t="shared" si="1"/>
        <v/>
      </c>
      <c r="B97" s="1"/>
      <c r="C97" s="1"/>
      <c r="D97" s="1"/>
      <c r="E97" s="7"/>
      <c r="F97" s="1"/>
      <c r="G97" s="1"/>
      <c r="H97" s="7"/>
      <c r="I97" s="1"/>
      <c r="J97" s="1" t="str">
        <f>IF(B97="","",IF(F97&lt;&gt;"SOLD","",IF(OR(G97="",H97=""),"SELECT TEAM &amp; PRICE",IFERROR(IF(H97&gt;INDEX(Teams!$B$4:$B$13,MATCH(G97,Teams!$A$4:$A$13,0))-SUMIFS($H$4:$H$503,$G$4:$G$503,G97,$F$4:$F$503,"SOLD",$A$4:$A$503,"&lt;&gt;"&amp;A97),"OVER BUDGET","OK"),"INVALID TEAM"))))</f>
        <v/>
      </c>
      <c r="K97" s="1" t="str">
        <f>IF(F97="SOLD",COUNTIF($F$4:F97,"SOLD"),"")</f>
        <v/>
      </c>
      <c r="L97" s="1" t="str">
        <f>IF(F97="UNSOLD",COUNTIF($F$4:F97,"UNSOLD"),"")</f>
        <v/>
      </c>
      <c r="M97" s="1" t="str">
        <f>IF(AND(F97="SOLD",G97='Team View'!$B$3),COUNTIFS($F$4:F97,"SOLD",$G$4:G97,'Team View'!$B$3),"")</f>
        <v/>
      </c>
    </row>
    <row r="98" spans="1:13">
      <c r="A98" s="1" t="str">
        <f t="shared" si="1"/>
        <v/>
      </c>
      <c r="B98" s="1"/>
      <c r="C98" s="1"/>
      <c r="D98" s="1"/>
      <c r="E98" s="7"/>
      <c r="F98" s="1"/>
      <c r="G98" s="1"/>
      <c r="H98" s="7"/>
      <c r="I98" s="1"/>
      <c r="J98" s="1" t="str">
        <f>IF(B98="","",IF(F98&lt;&gt;"SOLD","",IF(OR(G98="",H98=""),"SELECT TEAM &amp; PRICE",IFERROR(IF(H98&gt;INDEX(Teams!$B$4:$B$13,MATCH(G98,Teams!$A$4:$A$13,0))-SUMIFS($H$4:$H$503,$G$4:$G$503,G98,$F$4:$F$503,"SOLD",$A$4:$A$503,"&lt;&gt;"&amp;A98),"OVER BUDGET","OK"),"INVALID TEAM"))))</f>
        <v/>
      </c>
      <c r="K98" s="1" t="str">
        <f>IF(F98="SOLD",COUNTIF($F$4:F98,"SOLD"),"")</f>
        <v/>
      </c>
      <c r="L98" s="1" t="str">
        <f>IF(F98="UNSOLD",COUNTIF($F$4:F98,"UNSOLD"),"")</f>
        <v/>
      </c>
      <c r="M98" s="1" t="str">
        <f>IF(AND(F98="SOLD",G98='Team View'!$B$3),COUNTIFS($F$4:F98,"SOLD",$G$4:G98,'Team View'!$B$3),"")</f>
        <v/>
      </c>
    </row>
    <row r="99" spans="1:13">
      <c r="A99" s="1" t="str">
        <f t="shared" si="1"/>
        <v/>
      </c>
      <c r="B99" s="1"/>
      <c r="C99" s="1"/>
      <c r="D99" s="1"/>
      <c r="E99" s="7"/>
      <c r="F99" s="1"/>
      <c r="G99" s="1"/>
      <c r="H99" s="7"/>
      <c r="I99" s="1"/>
      <c r="J99" s="1" t="str">
        <f>IF(B99="","",IF(F99&lt;&gt;"SOLD","",IF(OR(G99="",H99=""),"SELECT TEAM &amp; PRICE",IFERROR(IF(H99&gt;INDEX(Teams!$B$4:$B$13,MATCH(G99,Teams!$A$4:$A$13,0))-SUMIFS($H$4:$H$503,$G$4:$G$503,G99,$F$4:$F$503,"SOLD",$A$4:$A$503,"&lt;&gt;"&amp;A99),"OVER BUDGET","OK"),"INVALID TEAM"))))</f>
        <v/>
      </c>
      <c r="K99" s="1" t="str">
        <f>IF(F99="SOLD",COUNTIF($F$4:F99,"SOLD"),"")</f>
        <v/>
      </c>
      <c r="L99" s="1" t="str">
        <f>IF(F99="UNSOLD",COUNTIF($F$4:F99,"UNSOLD"),"")</f>
        <v/>
      </c>
      <c r="M99" s="1" t="str">
        <f>IF(AND(F99="SOLD",G99='Team View'!$B$3),COUNTIFS($F$4:F99,"SOLD",$G$4:G99,'Team View'!$B$3),"")</f>
        <v/>
      </c>
    </row>
    <row r="100" spans="1:13">
      <c r="A100" s="1" t="str">
        <f t="shared" si="1"/>
        <v/>
      </c>
      <c r="B100" s="1"/>
      <c r="C100" s="1"/>
      <c r="D100" s="1"/>
      <c r="E100" s="7"/>
      <c r="F100" s="1"/>
      <c r="G100" s="1"/>
      <c r="H100" s="7"/>
      <c r="I100" s="1"/>
      <c r="J100" s="1" t="str">
        <f>IF(B100="","",IF(F100&lt;&gt;"SOLD","",IF(OR(G100="",H100=""),"SELECT TEAM &amp; PRICE",IFERROR(IF(H100&gt;INDEX(Teams!$B$4:$B$13,MATCH(G100,Teams!$A$4:$A$13,0))-SUMIFS($H$4:$H$503,$G$4:$G$503,G100,$F$4:$F$503,"SOLD",$A$4:$A$503,"&lt;&gt;"&amp;A100),"OVER BUDGET","OK"),"INVALID TEAM"))))</f>
        <v/>
      </c>
      <c r="K100" s="1" t="str">
        <f>IF(F100="SOLD",COUNTIF($F$4:F100,"SOLD"),"")</f>
        <v/>
      </c>
      <c r="L100" s="1" t="str">
        <f>IF(F100="UNSOLD",COUNTIF($F$4:F100,"UNSOLD"),"")</f>
        <v/>
      </c>
      <c r="M100" s="1" t="str">
        <f>IF(AND(F100="SOLD",G100='Team View'!$B$3),COUNTIFS($F$4:F100,"SOLD",$G$4:G100,'Team View'!$B$3),"")</f>
        <v/>
      </c>
    </row>
    <row r="101" spans="1:13">
      <c r="A101" s="1" t="str">
        <f t="shared" si="1"/>
        <v/>
      </c>
      <c r="B101" s="1"/>
      <c r="C101" s="1"/>
      <c r="D101" s="1"/>
      <c r="E101" s="7"/>
      <c r="F101" s="1"/>
      <c r="G101" s="1"/>
      <c r="H101" s="7"/>
      <c r="I101" s="1"/>
      <c r="J101" s="1" t="str">
        <f>IF(B101="","",IF(F101&lt;&gt;"SOLD","",IF(OR(G101="",H101=""),"SELECT TEAM &amp; PRICE",IFERROR(IF(H101&gt;INDEX(Teams!$B$4:$B$13,MATCH(G101,Teams!$A$4:$A$13,0))-SUMIFS($H$4:$H$503,$G$4:$G$503,G101,$F$4:$F$503,"SOLD",$A$4:$A$503,"&lt;&gt;"&amp;A101),"OVER BUDGET","OK"),"INVALID TEAM"))))</f>
        <v/>
      </c>
      <c r="K101" s="1" t="str">
        <f>IF(F101="SOLD",COUNTIF($F$4:F101,"SOLD"),"")</f>
        <v/>
      </c>
      <c r="L101" s="1" t="str">
        <f>IF(F101="UNSOLD",COUNTIF($F$4:F101,"UNSOLD"),"")</f>
        <v/>
      </c>
      <c r="M101" s="1" t="str">
        <f>IF(AND(F101="SOLD",G101='Team View'!$B$3),COUNTIFS($F$4:F101,"SOLD",$G$4:G101,'Team View'!$B$3),"")</f>
        <v/>
      </c>
    </row>
    <row r="102" spans="1:13">
      <c r="A102" s="1" t="str">
        <f t="shared" si="1"/>
        <v/>
      </c>
      <c r="B102" s="1"/>
      <c r="C102" s="1"/>
      <c r="D102" s="1"/>
      <c r="E102" s="7"/>
      <c r="F102" s="1"/>
      <c r="G102" s="1"/>
      <c r="H102" s="7"/>
      <c r="I102" s="1"/>
      <c r="J102" s="1" t="str">
        <f>IF(B102="","",IF(F102&lt;&gt;"SOLD","",IF(OR(G102="",H102=""),"SELECT TEAM &amp; PRICE",IFERROR(IF(H102&gt;INDEX(Teams!$B$4:$B$13,MATCH(G102,Teams!$A$4:$A$13,0))-SUMIFS($H$4:$H$503,$G$4:$G$503,G102,$F$4:$F$503,"SOLD",$A$4:$A$503,"&lt;&gt;"&amp;A102),"OVER BUDGET","OK"),"INVALID TEAM"))))</f>
        <v/>
      </c>
      <c r="K102" s="1" t="str">
        <f>IF(F102="SOLD",COUNTIF($F$4:F102,"SOLD"),"")</f>
        <v/>
      </c>
      <c r="L102" s="1" t="str">
        <f>IF(F102="UNSOLD",COUNTIF($F$4:F102,"UNSOLD"),"")</f>
        <v/>
      </c>
      <c r="M102" s="1" t="str">
        <f>IF(AND(F102="SOLD",G102='Team View'!$B$3),COUNTIFS($F$4:F102,"SOLD",$G$4:G102,'Team View'!$B$3),"")</f>
        <v/>
      </c>
    </row>
    <row r="103" spans="1:13">
      <c r="A103" s="1" t="str">
        <f t="shared" si="1"/>
        <v/>
      </c>
      <c r="B103" s="1"/>
      <c r="C103" s="1"/>
      <c r="D103" s="1"/>
      <c r="E103" s="7"/>
      <c r="F103" s="1"/>
      <c r="G103" s="1"/>
      <c r="H103" s="7"/>
      <c r="I103" s="1"/>
      <c r="J103" s="1" t="str">
        <f>IF(B103="","",IF(F103&lt;&gt;"SOLD","",IF(OR(G103="",H103=""),"SELECT TEAM &amp; PRICE",IFERROR(IF(H103&gt;INDEX(Teams!$B$4:$B$13,MATCH(G103,Teams!$A$4:$A$13,0))-SUMIFS($H$4:$H$503,$G$4:$G$503,G103,$F$4:$F$503,"SOLD",$A$4:$A$503,"&lt;&gt;"&amp;A103),"OVER BUDGET","OK"),"INVALID TEAM"))))</f>
        <v/>
      </c>
      <c r="K103" s="1" t="str">
        <f>IF(F103="SOLD",COUNTIF($F$4:F103,"SOLD"),"")</f>
        <v/>
      </c>
      <c r="L103" s="1" t="str">
        <f>IF(F103="UNSOLD",COUNTIF($F$4:F103,"UNSOLD"),"")</f>
        <v/>
      </c>
      <c r="M103" s="1" t="str">
        <f>IF(AND(F103="SOLD",G103='Team View'!$B$3),COUNTIFS($F$4:F103,"SOLD",$G$4:G103,'Team View'!$B$3),"")</f>
        <v/>
      </c>
    </row>
    <row r="104" spans="1:13">
      <c r="A104" s="1" t="str">
        <f t="shared" si="1"/>
        <v/>
      </c>
      <c r="B104" s="1"/>
      <c r="C104" s="1"/>
      <c r="D104" s="1"/>
      <c r="E104" s="7"/>
      <c r="F104" s="1"/>
      <c r="G104" s="1"/>
      <c r="H104" s="7"/>
      <c r="I104" s="1"/>
      <c r="J104" s="1" t="str">
        <f>IF(B104="","",IF(F104&lt;&gt;"SOLD","",IF(OR(G104="",H104=""),"SELECT TEAM &amp; PRICE",IFERROR(IF(H104&gt;INDEX(Teams!$B$4:$B$13,MATCH(G104,Teams!$A$4:$A$13,0))-SUMIFS($H$4:$H$503,$G$4:$G$503,G104,$F$4:$F$503,"SOLD",$A$4:$A$503,"&lt;&gt;"&amp;A104),"OVER BUDGET","OK"),"INVALID TEAM"))))</f>
        <v/>
      </c>
      <c r="K104" s="1" t="str">
        <f>IF(F104="SOLD",COUNTIF($F$4:F104,"SOLD"),"")</f>
        <v/>
      </c>
      <c r="L104" s="1" t="str">
        <f>IF(F104="UNSOLD",COUNTIF($F$4:F104,"UNSOLD"),"")</f>
        <v/>
      </c>
      <c r="M104" s="1" t="str">
        <f>IF(AND(F104="SOLD",G104='Team View'!$B$3),COUNTIFS($F$4:F104,"SOLD",$G$4:G104,'Team View'!$B$3),"")</f>
        <v/>
      </c>
    </row>
    <row r="105" spans="1:13">
      <c r="A105" s="1" t="str">
        <f t="shared" si="1"/>
        <v/>
      </c>
      <c r="B105" s="1"/>
      <c r="C105" s="1"/>
      <c r="D105" s="1"/>
      <c r="E105" s="7"/>
      <c r="F105" s="1"/>
      <c r="G105" s="1"/>
      <c r="H105" s="7"/>
      <c r="I105" s="1"/>
      <c r="J105" s="1" t="str">
        <f>IF(B105="","",IF(F105&lt;&gt;"SOLD","",IF(OR(G105="",H105=""),"SELECT TEAM &amp; PRICE",IFERROR(IF(H105&gt;INDEX(Teams!$B$4:$B$13,MATCH(G105,Teams!$A$4:$A$13,0))-SUMIFS($H$4:$H$503,$G$4:$G$503,G105,$F$4:$F$503,"SOLD",$A$4:$A$503,"&lt;&gt;"&amp;A105),"OVER BUDGET","OK"),"INVALID TEAM"))))</f>
        <v/>
      </c>
      <c r="K105" s="1" t="str">
        <f>IF(F105="SOLD",COUNTIF($F$4:F105,"SOLD"),"")</f>
        <v/>
      </c>
      <c r="L105" s="1" t="str">
        <f>IF(F105="UNSOLD",COUNTIF($F$4:F105,"UNSOLD"),"")</f>
        <v/>
      </c>
      <c r="M105" s="1" t="str">
        <f>IF(AND(F105="SOLD",G105='Team View'!$B$3),COUNTIFS($F$4:F105,"SOLD",$G$4:G105,'Team View'!$B$3),"")</f>
        <v/>
      </c>
    </row>
    <row r="106" spans="1:13">
      <c r="A106" s="1" t="str">
        <f t="shared" si="1"/>
        <v/>
      </c>
      <c r="B106" s="1"/>
      <c r="C106" s="1"/>
      <c r="D106" s="1"/>
      <c r="E106" s="7"/>
      <c r="F106" s="1"/>
      <c r="G106" s="1"/>
      <c r="H106" s="7"/>
      <c r="I106" s="1"/>
      <c r="J106" s="1" t="str">
        <f>IF(B106="","",IF(F106&lt;&gt;"SOLD","",IF(OR(G106="",H106=""),"SELECT TEAM &amp; PRICE",IFERROR(IF(H106&gt;INDEX(Teams!$B$4:$B$13,MATCH(G106,Teams!$A$4:$A$13,0))-SUMIFS($H$4:$H$503,$G$4:$G$503,G106,$F$4:$F$503,"SOLD",$A$4:$A$503,"&lt;&gt;"&amp;A106),"OVER BUDGET","OK"),"INVALID TEAM"))))</f>
        <v/>
      </c>
      <c r="K106" s="1" t="str">
        <f>IF(F106="SOLD",COUNTIF($F$4:F106,"SOLD"),"")</f>
        <v/>
      </c>
      <c r="L106" s="1" t="str">
        <f>IF(F106="UNSOLD",COUNTIF($F$4:F106,"UNSOLD"),"")</f>
        <v/>
      </c>
      <c r="M106" s="1" t="str">
        <f>IF(AND(F106="SOLD",G106='Team View'!$B$3),COUNTIFS($F$4:F106,"SOLD",$G$4:G106,'Team View'!$B$3),"")</f>
        <v/>
      </c>
    </row>
    <row r="107" spans="1:13">
      <c r="A107" s="1" t="str">
        <f t="shared" si="1"/>
        <v/>
      </c>
      <c r="B107" s="1"/>
      <c r="C107" s="1"/>
      <c r="D107" s="1"/>
      <c r="E107" s="7"/>
      <c r="F107" s="1"/>
      <c r="G107" s="1"/>
      <c r="H107" s="7"/>
      <c r="I107" s="1"/>
      <c r="J107" s="1" t="str">
        <f>IF(B107="","",IF(F107&lt;&gt;"SOLD","",IF(OR(G107="",H107=""),"SELECT TEAM &amp; PRICE",IFERROR(IF(H107&gt;INDEX(Teams!$B$4:$B$13,MATCH(G107,Teams!$A$4:$A$13,0))-SUMIFS($H$4:$H$503,$G$4:$G$503,G107,$F$4:$F$503,"SOLD",$A$4:$A$503,"&lt;&gt;"&amp;A107),"OVER BUDGET","OK"),"INVALID TEAM"))))</f>
        <v/>
      </c>
      <c r="K107" s="1" t="str">
        <f>IF(F107="SOLD",COUNTIF($F$4:F107,"SOLD"),"")</f>
        <v/>
      </c>
      <c r="L107" s="1" t="str">
        <f>IF(F107="UNSOLD",COUNTIF($F$4:F107,"UNSOLD"),"")</f>
        <v/>
      </c>
      <c r="M107" s="1" t="str">
        <f>IF(AND(F107="SOLD",G107='Team View'!$B$3),COUNTIFS($F$4:F107,"SOLD",$G$4:G107,'Team View'!$B$3),"")</f>
        <v/>
      </c>
    </row>
    <row r="108" spans="1:13">
      <c r="A108" s="1" t="str">
        <f t="shared" si="1"/>
        <v/>
      </c>
      <c r="B108" s="1"/>
      <c r="C108" s="1"/>
      <c r="D108" s="1"/>
      <c r="E108" s="7"/>
      <c r="F108" s="1"/>
      <c r="G108" s="1"/>
      <c r="H108" s="7"/>
      <c r="I108" s="1"/>
      <c r="J108" s="1" t="str">
        <f>IF(B108="","",IF(F108&lt;&gt;"SOLD","",IF(OR(G108="",H108=""),"SELECT TEAM &amp; PRICE",IFERROR(IF(H108&gt;INDEX(Teams!$B$4:$B$13,MATCH(G108,Teams!$A$4:$A$13,0))-SUMIFS($H$4:$H$503,$G$4:$G$503,G108,$F$4:$F$503,"SOLD",$A$4:$A$503,"&lt;&gt;"&amp;A108),"OVER BUDGET","OK"),"INVALID TEAM"))))</f>
        <v/>
      </c>
      <c r="K108" s="1" t="str">
        <f>IF(F108="SOLD",COUNTIF($F$4:F108,"SOLD"),"")</f>
        <v/>
      </c>
      <c r="L108" s="1" t="str">
        <f>IF(F108="UNSOLD",COUNTIF($F$4:F108,"UNSOLD"),"")</f>
        <v/>
      </c>
      <c r="M108" s="1" t="str">
        <f>IF(AND(F108="SOLD",G108='Team View'!$B$3),COUNTIFS($F$4:F108,"SOLD",$G$4:G108,'Team View'!$B$3),"")</f>
        <v/>
      </c>
    </row>
    <row r="109" spans="1:13">
      <c r="A109" s="1" t="str">
        <f t="shared" si="1"/>
        <v/>
      </c>
      <c r="B109" s="1"/>
      <c r="C109" s="1"/>
      <c r="D109" s="1"/>
      <c r="E109" s="7"/>
      <c r="F109" s="1"/>
      <c r="G109" s="1"/>
      <c r="H109" s="7"/>
      <c r="I109" s="1"/>
      <c r="J109" s="1" t="str">
        <f>IF(B109="","",IF(F109&lt;&gt;"SOLD","",IF(OR(G109="",H109=""),"SELECT TEAM &amp; PRICE",IFERROR(IF(H109&gt;INDEX(Teams!$B$4:$B$13,MATCH(G109,Teams!$A$4:$A$13,0))-SUMIFS($H$4:$H$503,$G$4:$G$503,G109,$F$4:$F$503,"SOLD",$A$4:$A$503,"&lt;&gt;"&amp;A109),"OVER BUDGET","OK"),"INVALID TEAM"))))</f>
        <v/>
      </c>
      <c r="K109" s="1" t="str">
        <f>IF(F109="SOLD",COUNTIF($F$4:F109,"SOLD"),"")</f>
        <v/>
      </c>
      <c r="L109" s="1" t="str">
        <f>IF(F109="UNSOLD",COUNTIF($F$4:F109,"UNSOLD"),"")</f>
        <v/>
      </c>
      <c r="M109" s="1" t="str">
        <f>IF(AND(F109="SOLD",G109='Team View'!$B$3),COUNTIFS($F$4:F109,"SOLD",$G$4:G109,'Team View'!$B$3),"")</f>
        <v/>
      </c>
    </row>
    <row r="110" spans="1:13">
      <c r="A110" s="1" t="str">
        <f t="shared" si="1"/>
        <v/>
      </c>
      <c r="B110" s="1"/>
      <c r="C110" s="1"/>
      <c r="D110" s="1"/>
      <c r="E110" s="7"/>
      <c r="F110" s="1"/>
      <c r="G110" s="1"/>
      <c r="H110" s="7"/>
      <c r="I110" s="1"/>
      <c r="J110" s="1" t="str">
        <f>IF(B110="","",IF(F110&lt;&gt;"SOLD","",IF(OR(G110="",H110=""),"SELECT TEAM &amp; PRICE",IFERROR(IF(H110&gt;INDEX(Teams!$B$4:$B$13,MATCH(G110,Teams!$A$4:$A$13,0))-SUMIFS($H$4:$H$503,$G$4:$G$503,G110,$F$4:$F$503,"SOLD",$A$4:$A$503,"&lt;&gt;"&amp;A110),"OVER BUDGET","OK"),"INVALID TEAM"))))</f>
        <v/>
      </c>
      <c r="K110" s="1" t="str">
        <f>IF(F110="SOLD",COUNTIF($F$4:F110,"SOLD"),"")</f>
        <v/>
      </c>
      <c r="L110" s="1" t="str">
        <f>IF(F110="UNSOLD",COUNTIF($F$4:F110,"UNSOLD"),"")</f>
        <v/>
      </c>
      <c r="M110" s="1" t="str">
        <f>IF(AND(F110="SOLD",G110='Team View'!$B$3),COUNTIFS($F$4:F110,"SOLD",$G$4:G110,'Team View'!$B$3),"")</f>
        <v/>
      </c>
    </row>
    <row r="111" spans="1:13">
      <c r="A111" s="1" t="str">
        <f t="shared" si="1"/>
        <v/>
      </c>
      <c r="B111" s="1"/>
      <c r="C111" s="1"/>
      <c r="D111" s="1"/>
      <c r="E111" s="7"/>
      <c r="F111" s="1"/>
      <c r="G111" s="1"/>
      <c r="H111" s="7"/>
      <c r="I111" s="1"/>
      <c r="J111" s="1" t="str">
        <f>IF(B111="","",IF(F111&lt;&gt;"SOLD","",IF(OR(G111="",H111=""),"SELECT TEAM &amp; PRICE",IFERROR(IF(H111&gt;INDEX(Teams!$B$4:$B$13,MATCH(G111,Teams!$A$4:$A$13,0))-SUMIFS($H$4:$H$503,$G$4:$G$503,G111,$F$4:$F$503,"SOLD",$A$4:$A$503,"&lt;&gt;"&amp;A111),"OVER BUDGET","OK"),"INVALID TEAM"))))</f>
        <v/>
      </c>
      <c r="K111" s="1" t="str">
        <f>IF(F111="SOLD",COUNTIF($F$4:F111,"SOLD"),"")</f>
        <v/>
      </c>
      <c r="L111" s="1" t="str">
        <f>IF(F111="UNSOLD",COUNTIF($F$4:F111,"UNSOLD"),"")</f>
        <v/>
      </c>
      <c r="M111" s="1" t="str">
        <f>IF(AND(F111="SOLD",G111='Team View'!$B$3),COUNTIFS($F$4:F111,"SOLD",$G$4:G111,'Team View'!$B$3),"")</f>
        <v/>
      </c>
    </row>
    <row r="112" spans="1:13">
      <c r="A112" s="1" t="str">
        <f t="shared" si="1"/>
        <v/>
      </c>
      <c r="B112" s="1"/>
      <c r="C112" s="1"/>
      <c r="D112" s="1"/>
      <c r="E112" s="7"/>
      <c r="F112" s="1"/>
      <c r="G112" s="1"/>
      <c r="H112" s="7"/>
      <c r="I112" s="1"/>
      <c r="J112" s="1" t="str">
        <f>IF(B112="","",IF(F112&lt;&gt;"SOLD","",IF(OR(G112="",H112=""),"SELECT TEAM &amp; PRICE",IFERROR(IF(H112&gt;INDEX(Teams!$B$4:$B$13,MATCH(G112,Teams!$A$4:$A$13,0))-SUMIFS($H$4:$H$503,$G$4:$G$503,G112,$F$4:$F$503,"SOLD",$A$4:$A$503,"&lt;&gt;"&amp;A112),"OVER BUDGET","OK"),"INVALID TEAM"))))</f>
        <v/>
      </c>
      <c r="K112" s="1" t="str">
        <f>IF(F112="SOLD",COUNTIF($F$4:F112,"SOLD"),"")</f>
        <v/>
      </c>
      <c r="L112" s="1" t="str">
        <f>IF(F112="UNSOLD",COUNTIF($F$4:F112,"UNSOLD"),"")</f>
        <v/>
      </c>
      <c r="M112" s="1" t="str">
        <f>IF(AND(F112="SOLD",G112='Team View'!$B$3),COUNTIFS($F$4:F112,"SOLD",$G$4:G112,'Team View'!$B$3),"")</f>
        <v/>
      </c>
    </row>
    <row r="113" spans="1:13">
      <c r="A113" s="1" t="str">
        <f t="shared" si="1"/>
        <v/>
      </c>
      <c r="B113" s="1"/>
      <c r="C113" s="1"/>
      <c r="D113" s="1"/>
      <c r="E113" s="7"/>
      <c r="F113" s="1"/>
      <c r="G113" s="1"/>
      <c r="H113" s="7"/>
      <c r="I113" s="1"/>
      <c r="J113" s="1" t="str">
        <f>IF(B113="","",IF(F113&lt;&gt;"SOLD","",IF(OR(G113="",H113=""),"SELECT TEAM &amp; PRICE",IFERROR(IF(H113&gt;INDEX(Teams!$B$4:$B$13,MATCH(G113,Teams!$A$4:$A$13,0))-SUMIFS($H$4:$H$503,$G$4:$G$503,G113,$F$4:$F$503,"SOLD",$A$4:$A$503,"&lt;&gt;"&amp;A113),"OVER BUDGET","OK"),"INVALID TEAM"))))</f>
        <v/>
      </c>
      <c r="K113" s="1" t="str">
        <f>IF(F113="SOLD",COUNTIF($F$4:F113,"SOLD"),"")</f>
        <v/>
      </c>
      <c r="L113" s="1" t="str">
        <f>IF(F113="UNSOLD",COUNTIF($F$4:F113,"UNSOLD"),"")</f>
        <v/>
      </c>
      <c r="M113" s="1" t="str">
        <f>IF(AND(F113="SOLD",G113='Team View'!$B$3),COUNTIFS($F$4:F113,"SOLD",$G$4:G113,'Team View'!$B$3),"")</f>
        <v/>
      </c>
    </row>
    <row r="114" spans="1:13">
      <c r="A114" s="1" t="str">
        <f t="shared" si="1"/>
        <v/>
      </c>
      <c r="B114" s="1"/>
      <c r="C114" s="1"/>
      <c r="D114" s="1"/>
      <c r="E114" s="7"/>
      <c r="F114" s="1"/>
      <c r="G114" s="1"/>
      <c r="H114" s="7"/>
      <c r="I114" s="1"/>
      <c r="J114" s="1" t="str">
        <f>IF(B114="","",IF(F114&lt;&gt;"SOLD","",IF(OR(G114="",H114=""),"SELECT TEAM &amp; PRICE",IFERROR(IF(H114&gt;INDEX(Teams!$B$4:$B$13,MATCH(G114,Teams!$A$4:$A$13,0))-SUMIFS($H$4:$H$503,$G$4:$G$503,G114,$F$4:$F$503,"SOLD",$A$4:$A$503,"&lt;&gt;"&amp;A114),"OVER BUDGET","OK"),"INVALID TEAM"))))</f>
        <v/>
      </c>
      <c r="K114" s="1" t="str">
        <f>IF(F114="SOLD",COUNTIF($F$4:F114,"SOLD"),"")</f>
        <v/>
      </c>
      <c r="L114" s="1" t="str">
        <f>IF(F114="UNSOLD",COUNTIF($F$4:F114,"UNSOLD"),"")</f>
        <v/>
      </c>
      <c r="M114" s="1" t="str">
        <f>IF(AND(F114="SOLD",G114='Team View'!$B$3),COUNTIFS($F$4:F114,"SOLD",$G$4:G114,'Team View'!$B$3),"")</f>
        <v/>
      </c>
    </row>
    <row r="115" spans="1:13">
      <c r="A115" s="1" t="str">
        <f t="shared" si="1"/>
        <v/>
      </c>
      <c r="B115" s="1"/>
      <c r="C115" s="1"/>
      <c r="D115" s="1"/>
      <c r="E115" s="7"/>
      <c r="F115" s="1"/>
      <c r="G115" s="1"/>
      <c r="H115" s="7"/>
      <c r="I115" s="1"/>
      <c r="J115" s="1" t="str">
        <f>IF(B115="","",IF(F115&lt;&gt;"SOLD","",IF(OR(G115="",H115=""),"SELECT TEAM &amp; PRICE",IFERROR(IF(H115&gt;INDEX(Teams!$B$4:$B$13,MATCH(G115,Teams!$A$4:$A$13,0))-SUMIFS($H$4:$H$503,$G$4:$G$503,G115,$F$4:$F$503,"SOLD",$A$4:$A$503,"&lt;&gt;"&amp;A115),"OVER BUDGET","OK"),"INVALID TEAM"))))</f>
        <v/>
      </c>
      <c r="K115" s="1" t="str">
        <f>IF(F115="SOLD",COUNTIF($F$4:F115,"SOLD"),"")</f>
        <v/>
      </c>
      <c r="L115" s="1" t="str">
        <f>IF(F115="UNSOLD",COUNTIF($F$4:F115,"UNSOLD"),"")</f>
        <v/>
      </c>
      <c r="M115" s="1" t="str">
        <f>IF(AND(F115="SOLD",G115='Team View'!$B$3),COUNTIFS($F$4:F115,"SOLD",$G$4:G115,'Team View'!$B$3),"")</f>
        <v/>
      </c>
    </row>
    <row r="116" spans="1:13">
      <c r="A116" s="1" t="str">
        <f t="shared" si="1"/>
        <v/>
      </c>
      <c r="B116" s="1"/>
      <c r="C116" s="1"/>
      <c r="D116" s="1"/>
      <c r="E116" s="7"/>
      <c r="F116" s="1"/>
      <c r="G116" s="1"/>
      <c r="H116" s="7"/>
      <c r="I116" s="1"/>
      <c r="J116" s="1" t="str">
        <f>IF(B116="","",IF(F116&lt;&gt;"SOLD","",IF(OR(G116="",H116=""),"SELECT TEAM &amp; PRICE",IFERROR(IF(H116&gt;INDEX(Teams!$B$4:$B$13,MATCH(G116,Teams!$A$4:$A$13,0))-SUMIFS($H$4:$H$503,$G$4:$G$503,G116,$F$4:$F$503,"SOLD",$A$4:$A$503,"&lt;&gt;"&amp;A116),"OVER BUDGET","OK"),"INVALID TEAM"))))</f>
        <v/>
      </c>
      <c r="K116" s="1" t="str">
        <f>IF(F116="SOLD",COUNTIF($F$4:F116,"SOLD"),"")</f>
        <v/>
      </c>
      <c r="L116" s="1" t="str">
        <f>IF(F116="UNSOLD",COUNTIF($F$4:F116,"UNSOLD"),"")</f>
        <v/>
      </c>
      <c r="M116" s="1" t="str">
        <f>IF(AND(F116="SOLD",G116='Team View'!$B$3),COUNTIFS($F$4:F116,"SOLD",$G$4:G116,'Team View'!$B$3),"")</f>
        <v/>
      </c>
    </row>
    <row r="117" spans="1:13">
      <c r="A117" s="1" t="str">
        <f t="shared" si="1"/>
        <v/>
      </c>
      <c r="B117" s="1"/>
      <c r="C117" s="1"/>
      <c r="D117" s="1"/>
      <c r="E117" s="7"/>
      <c r="F117" s="1"/>
      <c r="G117" s="1"/>
      <c r="H117" s="7"/>
      <c r="I117" s="1"/>
      <c r="J117" s="1" t="str">
        <f>IF(B117="","",IF(F117&lt;&gt;"SOLD","",IF(OR(G117="",H117=""),"SELECT TEAM &amp; PRICE",IFERROR(IF(H117&gt;INDEX(Teams!$B$4:$B$13,MATCH(G117,Teams!$A$4:$A$13,0))-SUMIFS($H$4:$H$503,$G$4:$G$503,G117,$F$4:$F$503,"SOLD",$A$4:$A$503,"&lt;&gt;"&amp;A117),"OVER BUDGET","OK"),"INVALID TEAM"))))</f>
        <v/>
      </c>
      <c r="K117" s="1" t="str">
        <f>IF(F117="SOLD",COUNTIF($F$4:F117,"SOLD"),"")</f>
        <v/>
      </c>
      <c r="L117" s="1" t="str">
        <f>IF(F117="UNSOLD",COUNTIF($F$4:F117,"UNSOLD"),"")</f>
        <v/>
      </c>
      <c r="M117" s="1" t="str">
        <f>IF(AND(F117="SOLD",G117='Team View'!$B$3),COUNTIFS($F$4:F117,"SOLD",$G$4:G117,'Team View'!$B$3),"")</f>
        <v/>
      </c>
    </row>
    <row r="118" spans="1:13">
      <c r="A118" s="1" t="str">
        <f t="shared" si="1"/>
        <v/>
      </c>
      <c r="B118" s="1"/>
      <c r="C118" s="1"/>
      <c r="D118" s="1"/>
      <c r="E118" s="7"/>
      <c r="F118" s="1"/>
      <c r="G118" s="1"/>
      <c r="H118" s="7"/>
      <c r="I118" s="1"/>
      <c r="J118" s="1" t="str">
        <f>IF(B118="","",IF(F118&lt;&gt;"SOLD","",IF(OR(G118="",H118=""),"SELECT TEAM &amp; PRICE",IFERROR(IF(H118&gt;INDEX(Teams!$B$4:$B$13,MATCH(G118,Teams!$A$4:$A$13,0))-SUMIFS($H$4:$H$503,$G$4:$G$503,G118,$F$4:$F$503,"SOLD",$A$4:$A$503,"&lt;&gt;"&amp;A118),"OVER BUDGET","OK"),"INVALID TEAM"))))</f>
        <v/>
      </c>
      <c r="K118" s="1" t="str">
        <f>IF(F118="SOLD",COUNTIF($F$4:F118,"SOLD"),"")</f>
        <v/>
      </c>
      <c r="L118" s="1" t="str">
        <f>IF(F118="UNSOLD",COUNTIF($F$4:F118,"UNSOLD"),"")</f>
        <v/>
      </c>
      <c r="M118" s="1" t="str">
        <f>IF(AND(F118="SOLD",G118='Team View'!$B$3),COUNTIFS($F$4:F118,"SOLD",$G$4:G118,'Team View'!$B$3),"")</f>
        <v/>
      </c>
    </row>
    <row r="119" spans="1:13">
      <c r="A119" s="1" t="str">
        <f t="shared" si="1"/>
        <v/>
      </c>
      <c r="B119" s="1"/>
      <c r="C119" s="1"/>
      <c r="D119" s="1"/>
      <c r="E119" s="7"/>
      <c r="F119" s="1"/>
      <c r="G119" s="1"/>
      <c r="H119" s="7"/>
      <c r="I119" s="1"/>
      <c r="J119" s="1" t="str">
        <f>IF(B119="","",IF(F119&lt;&gt;"SOLD","",IF(OR(G119="",H119=""),"SELECT TEAM &amp; PRICE",IFERROR(IF(H119&gt;INDEX(Teams!$B$4:$B$13,MATCH(G119,Teams!$A$4:$A$13,0))-SUMIFS($H$4:$H$503,$G$4:$G$503,G119,$F$4:$F$503,"SOLD",$A$4:$A$503,"&lt;&gt;"&amp;A119),"OVER BUDGET","OK"),"INVALID TEAM"))))</f>
        <v/>
      </c>
      <c r="K119" s="1" t="str">
        <f>IF(F119="SOLD",COUNTIF($F$4:F119,"SOLD"),"")</f>
        <v/>
      </c>
      <c r="L119" s="1" t="str">
        <f>IF(F119="UNSOLD",COUNTIF($F$4:F119,"UNSOLD"),"")</f>
        <v/>
      </c>
      <c r="M119" s="1" t="str">
        <f>IF(AND(F119="SOLD",G119='Team View'!$B$3),COUNTIFS($F$4:F119,"SOLD",$G$4:G119,'Team View'!$B$3),"")</f>
        <v/>
      </c>
    </row>
    <row r="120" spans="1:13">
      <c r="A120" s="1" t="str">
        <f t="shared" si="1"/>
        <v/>
      </c>
      <c r="B120" s="1"/>
      <c r="C120" s="1"/>
      <c r="D120" s="1"/>
      <c r="E120" s="7"/>
      <c r="F120" s="1"/>
      <c r="G120" s="1"/>
      <c r="H120" s="7"/>
      <c r="I120" s="1"/>
      <c r="J120" s="1" t="str">
        <f>IF(B120="","",IF(F120&lt;&gt;"SOLD","",IF(OR(G120="",H120=""),"SELECT TEAM &amp; PRICE",IFERROR(IF(H120&gt;INDEX(Teams!$B$4:$B$13,MATCH(G120,Teams!$A$4:$A$13,0))-SUMIFS($H$4:$H$503,$G$4:$G$503,G120,$F$4:$F$503,"SOLD",$A$4:$A$503,"&lt;&gt;"&amp;A120),"OVER BUDGET","OK"),"INVALID TEAM"))))</f>
        <v/>
      </c>
      <c r="K120" s="1" t="str">
        <f>IF(F120="SOLD",COUNTIF($F$4:F120,"SOLD"),"")</f>
        <v/>
      </c>
      <c r="L120" s="1" t="str">
        <f>IF(F120="UNSOLD",COUNTIF($F$4:F120,"UNSOLD"),"")</f>
        <v/>
      </c>
      <c r="M120" s="1" t="str">
        <f>IF(AND(F120="SOLD",G120='Team View'!$B$3),COUNTIFS($F$4:F120,"SOLD",$G$4:G120,'Team View'!$B$3),"")</f>
        <v/>
      </c>
    </row>
    <row r="121" spans="1:13">
      <c r="A121" s="1" t="str">
        <f t="shared" si="1"/>
        <v/>
      </c>
      <c r="B121" s="1"/>
      <c r="C121" s="1"/>
      <c r="D121" s="1"/>
      <c r="E121" s="7"/>
      <c r="F121" s="1"/>
      <c r="G121" s="1"/>
      <c r="H121" s="7"/>
      <c r="I121" s="1"/>
      <c r="J121" s="1" t="str">
        <f>IF(B121="","",IF(F121&lt;&gt;"SOLD","",IF(OR(G121="",H121=""),"SELECT TEAM &amp; PRICE",IFERROR(IF(H121&gt;INDEX(Teams!$B$4:$B$13,MATCH(G121,Teams!$A$4:$A$13,0))-SUMIFS($H$4:$H$503,$G$4:$G$503,G121,$F$4:$F$503,"SOLD",$A$4:$A$503,"&lt;&gt;"&amp;A121),"OVER BUDGET","OK"),"INVALID TEAM"))))</f>
        <v/>
      </c>
      <c r="K121" s="1" t="str">
        <f>IF(F121="SOLD",COUNTIF($F$4:F121,"SOLD"),"")</f>
        <v/>
      </c>
      <c r="L121" s="1" t="str">
        <f>IF(F121="UNSOLD",COUNTIF($F$4:F121,"UNSOLD"),"")</f>
        <v/>
      </c>
      <c r="M121" s="1" t="str">
        <f>IF(AND(F121="SOLD",G121='Team View'!$B$3),COUNTIFS($F$4:F121,"SOLD",$G$4:G121,'Team View'!$B$3),"")</f>
        <v/>
      </c>
    </row>
    <row r="122" spans="1:13">
      <c r="A122" s="1" t="str">
        <f t="shared" si="1"/>
        <v/>
      </c>
      <c r="B122" s="1"/>
      <c r="C122" s="1"/>
      <c r="D122" s="1"/>
      <c r="E122" s="7"/>
      <c r="F122" s="1"/>
      <c r="G122" s="1"/>
      <c r="H122" s="7"/>
      <c r="I122" s="1"/>
      <c r="J122" s="1" t="str">
        <f>IF(B122="","",IF(F122&lt;&gt;"SOLD","",IF(OR(G122="",H122=""),"SELECT TEAM &amp; PRICE",IFERROR(IF(H122&gt;INDEX(Teams!$B$4:$B$13,MATCH(G122,Teams!$A$4:$A$13,0))-SUMIFS($H$4:$H$503,$G$4:$G$503,G122,$F$4:$F$503,"SOLD",$A$4:$A$503,"&lt;&gt;"&amp;A122),"OVER BUDGET","OK"),"INVALID TEAM"))))</f>
        <v/>
      </c>
      <c r="K122" s="1" t="str">
        <f>IF(F122="SOLD",COUNTIF($F$4:F122,"SOLD"),"")</f>
        <v/>
      </c>
      <c r="L122" s="1" t="str">
        <f>IF(F122="UNSOLD",COUNTIF($F$4:F122,"UNSOLD"),"")</f>
        <v/>
      </c>
      <c r="M122" s="1" t="str">
        <f>IF(AND(F122="SOLD",G122='Team View'!$B$3),COUNTIFS($F$4:F122,"SOLD",$G$4:G122,'Team View'!$B$3),"")</f>
        <v/>
      </c>
    </row>
    <row r="123" spans="1:13">
      <c r="A123" s="1" t="str">
        <f t="shared" si="1"/>
        <v/>
      </c>
      <c r="B123" s="1"/>
      <c r="C123" s="1"/>
      <c r="D123" s="1"/>
      <c r="E123" s="7"/>
      <c r="F123" s="1"/>
      <c r="G123" s="1"/>
      <c r="H123" s="7"/>
      <c r="I123" s="1"/>
      <c r="J123" s="1" t="str">
        <f>IF(B123="","",IF(F123&lt;&gt;"SOLD","",IF(OR(G123="",H123=""),"SELECT TEAM &amp; PRICE",IFERROR(IF(H123&gt;INDEX(Teams!$B$4:$B$13,MATCH(G123,Teams!$A$4:$A$13,0))-SUMIFS($H$4:$H$503,$G$4:$G$503,G123,$F$4:$F$503,"SOLD",$A$4:$A$503,"&lt;&gt;"&amp;A123),"OVER BUDGET","OK"),"INVALID TEAM"))))</f>
        <v/>
      </c>
      <c r="K123" s="1" t="str">
        <f>IF(F123="SOLD",COUNTIF($F$4:F123,"SOLD"),"")</f>
        <v/>
      </c>
      <c r="L123" s="1" t="str">
        <f>IF(F123="UNSOLD",COUNTIF($F$4:F123,"UNSOLD"),"")</f>
        <v/>
      </c>
      <c r="M123" s="1" t="str">
        <f>IF(AND(F123="SOLD",G123='Team View'!$B$3),COUNTIFS($F$4:F123,"SOLD",$G$4:G123,'Team View'!$B$3),"")</f>
        <v/>
      </c>
    </row>
    <row r="124" spans="1:13">
      <c r="A124" s="1" t="str">
        <f t="shared" si="1"/>
        <v/>
      </c>
      <c r="B124" s="1"/>
      <c r="C124" s="1"/>
      <c r="D124" s="1"/>
      <c r="E124" s="7"/>
      <c r="F124" s="1"/>
      <c r="G124" s="1"/>
      <c r="H124" s="7"/>
      <c r="I124" s="1"/>
      <c r="J124" s="1" t="str">
        <f>IF(B124="","",IF(F124&lt;&gt;"SOLD","",IF(OR(G124="",H124=""),"SELECT TEAM &amp; PRICE",IFERROR(IF(H124&gt;INDEX(Teams!$B$4:$B$13,MATCH(G124,Teams!$A$4:$A$13,0))-SUMIFS($H$4:$H$503,$G$4:$G$503,G124,$F$4:$F$503,"SOLD",$A$4:$A$503,"&lt;&gt;"&amp;A124),"OVER BUDGET","OK"),"INVALID TEAM"))))</f>
        <v/>
      </c>
      <c r="K124" s="1" t="str">
        <f>IF(F124="SOLD",COUNTIF($F$4:F124,"SOLD"),"")</f>
        <v/>
      </c>
      <c r="L124" s="1" t="str">
        <f>IF(F124="UNSOLD",COUNTIF($F$4:F124,"UNSOLD"),"")</f>
        <v/>
      </c>
      <c r="M124" s="1" t="str">
        <f>IF(AND(F124="SOLD",G124='Team View'!$B$3),COUNTIFS($F$4:F124,"SOLD",$G$4:G124,'Team View'!$B$3),"")</f>
        <v/>
      </c>
    </row>
    <row r="125" spans="1:13">
      <c r="A125" s="1" t="str">
        <f t="shared" si="1"/>
        <v/>
      </c>
      <c r="B125" s="1"/>
      <c r="C125" s="1"/>
      <c r="D125" s="1"/>
      <c r="E125" s="7"/>
      <c r="F125" s="1"/>
      <c r="G125" s="1"/>
      <c r="H125" s="7"/>
      <c r="I125" s="1"/>
      <c r="J125" s="1" t="str">
        <f>IF(B125="","",IF(F125&lt;&gt;"SOLD","",IF(OR(G125="",H125=""),"SELECT TEAM &amp; PRICE",IFERROR(IF(H125&gt;INDEX(Teams!$B$4:$B$13,MATCH(G125,Teams!$A$4:$A$13,0))-SUMIFS($H$4:$H$503,$G$4:$G$503,G125,$F$4:$F$503,"SOLD",$A$4:$A$503,"&lt;&gt;"&amp;A125),"OVER BUDGET","OK"),"INVALID TEAM"))))</f>
        <v/>
      </c>
      <c r="K125" s="1" t="str">
        <f>IF(F125="SOLD",COUNTIF($F$4:F125,"SOLD"),"")</f>
        <v/>
      </c>
      <c r="L125" s="1" t="str">
        <f>IF(F125="UNSOLD",COUNTIF($F$4:F125,"UNSOLD"),"")</f>
        <v/>
      </c>
      <c r="M125" s="1" t="str">
        <f>IF(AND(F125="SOLD",G125='Team View'!$B$3),COUNTIFS($F$4:F125,"SOLD",$G$4:G125,'Team View'!$B$3),"")</f>
        <v/>
      </c>
    </row>
    <row r="126" spans="1:13">
      <c r="A126" s="1" t="str">
        <f t="shared" si="1"/>
        <v/>
      </c>
      <c r="B126" s="1"/>
      <c r="C126" s="1"/>
      <c r="D126" s="1"/>
      <c r="E126" s="7"/>
      <c r="F126" s="1"/>
      <c r="G126" s="1"/>
      <c r="H126" s="7"/>
      <c r="I126" s="1"/>
      <c r="J126" s="1" t="str">
        <f>IF(B126="","",IF(F126&lt;&gt;"SOLD","",IF(OR(G126="",H126=""),"SELECT TEAM &amp; PRICE",IFERROR(IF(H126&gt;INDEX(Teams!$B$4:$B$13,MATCH(G126,Teams!$A$4:$A$13,0))-SUMIFS($H$4:$H$503,$G$4:$G$503,G126,$F$4:$F$503,"SOLD",$A$4:$A$503,"&lt;&gt;"&amp;A126),"OVER BUDGET","OK"),"INVALID TEAM"))))</f>
        <v/>
      </c>
      <c r="K126" s="1" t="str">
        <f>IF(F126="SOLD",COUNTIF($F$4:F126,"SOLD"),"")</f>
        <v/>
      </c>
      <c r="L126" s="1" t="str">
        <f>IF(F126="UNSOLD",COUNTIF($F$4:F126,"UNSOLD"),"")</f>
        <v/>
      </c>
      <c r="M126" s="1" t="str">
        <f>IF(AND(F126="SOLD",G126='Team View'!$B$3),COUNTIFS($F$4:F126,"SOLD",$G$4:G126,'Team View'!$B$3),"")</f>
        <v/>
      </c>
    </row>
    <row r="127" spans="1:13">
      <c r="A127" s="1" t="str">
        <f t="shared" si="1"/>
        <v/>
      </c>
      <c r="B127" s="1"/>
      <c r="C127" s="1"/>
      <c r="D127" s="1"/>
      <c r="E127" s="7"/>
      <c r="F127" s="1"/>
      <c r="G127" s="1"/>
      <c r="H127" s="7"/>
      <c r="I127" s="1"/>
      <c r="J127" s="1" t="str">
        <f>IF(B127="","",IF(F127&lt;&gt;"SOLD","",IF(OR(G127="",H127=""),"SELECT TEAM &amp; PRICE",IFERROR(IF(H127&gt;INDEX(Teams!$B$4:$B$13,MATCH(G127,Teams!$A$4:$A$13,0))-SUMIFS($H$4:$H$503,$G$4:$G$503,G127,$F$4:$F$503,"SOLD",$A$4:$A$503,"&lt;&gt;"&amp;A127),"OVER BUDGET","OK"),"INVALID TEAM"))))</f>
        <v/>
      </c>
      <c r="K127" s="1" t="str">
        <f>IF(F127="SOLD",COUNTIF($F$4:F127,"SOLD"),"")</f>
        <v/>
      </c>
      <c r="L127" s="1" t="str">
        <f>IF(F127="UNSOLD",COUNTIF($F$4:F127,"UNSOLD"),"")</f>
        <v/>
      </c>
      <c r="M127" s="1" t="str">
        <f>IF(AND(F127="SOLD",G127='Team View'!$B$3),COUNTIFS($F$4:F127,"SOLD",$G$4:G127,'Team View'!$B$3),"")</f>
        <v/>
      </c>
    </row>
    <row r="128" spans="1:13">
      <c r="A128" s="1" t="str">
        <f t="shared" si="1"/>
        <v/>
      </c>
      <c r="B128" s="1"/>
      <c r="C128" s="1"/>
      <c r="D128" s="1"/>
      <c r="E128" s="7"/>
      <c r="F128" s="1"/>
      <c r="G128" s="1"/>
      <c r="H128" s="7"/>
      <c r="I128" s="1"/>
      <c r="J128" s="1" t="str">
        <f>IF(B128="","",IF(F128&lt;&gt;"SOLD","",IF(OR(G128="",H128=""),"SELECT TEAM &amp; PRICE",IFERROR(IF(H128&gt;INDEX(Teams!$B$4:$B$13,MATCH(G128,Teams!$A$4:$A$13,0))-SUMIFS($H$4:$H$503,$G$4:$G$503,G128,$F$4:$F$503,"SOLD",$A$4:$A$503,"&lt;&gt;"&amp;A128),"OVER BUDGET","OK"),"INVALID TEAM"))))</f>
        <v/>
      </c>
      <c r="K128" s="1" t="str">
        <f>IF(F128="SOLD",COUNTIF($F$4:F128,"SOLD"),"")</f>
        <v/>
      </c>
      <c r="L128" s="1" t="str">
        <f>IF(F128="UNSOLD",COUNTIF($F$4:F128,"UNSOLD"),"")</f>
        <v/>
      </c>
      <c r="M128" s="1" t="str">
        <f>IF(AND(F128="SOLD",G128='Team View'!$B$3),COUNTIFS($F$4:F128,"SOLD",$G$4:G128,'Team View'!$B$3),"")</f>
        <v/>
      </c>
    </row>
    <row r="129" spans="1:13">
      <c r="A129" s="1" t="str">
        <f t="shared" si="1"/>
        <v/>
      </c>
      <c r="B129" s="1"/>
      <c r="C129" s="1"/>
      <c r="D129" s="1"/>
      <c r="E129" s="7"/>
      <c r="F129" s="1"/>
      <c r="G129" s="1"/>
      <c r="H129" s="7"/>
      <c r="I129" s="1"/>
      <c r="J129" s="1" t="str">
        <f>IF(B129="","",IF(F129&lt;&gt;"SOLD","",IF(OR(G129="",H129=""),"SELECT TEAM &amp; PRICE",IFERROR(IF(H129&gt;INDEX(Teams!$B$4:$B$13,MATCH(G129,Teams!$A$4:$A$13,0))-SUMIFS($H$4:$H$503,$G$4:$G$503,G129,$F$4:$F$503,"SOLD",$A$4:$A$503,"&lt;&gt;"&amp;A129),"OVER BUDGET","OK"),"INVALID TEAM"))))</f>
        <v/>
      </c>
      <c r="K129" s="1" t="str">
        <f>IF(F129="SOLD",COUNTIF($F$4:F129,"SOLD"),"")</f>
        <v/>
      </c>
      <c r="L129" s="1" t="str">
        <f>IF(F129="UNSOLD",COUNTIF($F$4:F129,"UNSOLD"),"")</f>
        <v/>
      </c>
      <c r="M129" s="1" t="str">
        <f>IF(AND(F129="SOLD",G129='Team View'!$B$3),COUNTIFS($F$4:F129,"SOLD",$G$4:G129,'Team View'!$B$3),"")</f>
        <v/>
      </c>
    </row>
    <row r="130" spans="1:13">
      <c r="A130" s="1" t="str">
        <f t="shared" si="1"/>
        <v/>
      </c>
      <c r="B130" s="1"/>
      <c r="C130" s="1"/>
      <c r="D130" s="1"/>
      <c r="E130" s="7"/>
      <c r="F130" s="1"/>
      <c r="G130" s="1"/>
      <c r="H130" s="7"/>
      <c r="I130" s="1"/>
      <c r="J130" s="1" t="str">
        <f>IF(B130="","",IF(F130&lt;&gt;"SOLD","",IF(OR(G130="",H130=""),"SELECT TEAM &amp; PRICE",IFERROR(IF(H130&gt;INDEX(Teams!$B$4:$B$13,MATCH(G130,Teams!$A$4:$A$13,0))-SUMIFS($H$4:$H$503,$G$4:$G$503,G130,$F$4:$F$503,"SOLD",$A$4:$A$503,"&lt;&gt;"&amp;A130),"OVER BUDGET","OK"),"INVALID TEAM"))))</f>
        <v/>
      </c>
      <c r="K130" s="1" t="str">
        <f>IF(F130="SOLD",COUNTIF($F$4:F130,"SOLD"),"")</f>
        <v/>
      </c>
      <c r="L130" s="1" t="str">
        <f>IF(F130="UNSOLD",COUNTIF($F$4:F130,"UNSOLD"),"")</f>
        <v/>
      </c>
      <c r="M130" s="1" t="str">
        <f>IF(AND(F130="SOLD",G130='Team View'!$B$3),COUNTIFS($F$4:F130,"SOLD",$G$4:G130,'Team View'!$B$3),"")</f>
        <v/>
      </c>
    </row>
    <row r="131" spans="1:13">
      <c r="A131" s="1" t="str">
        <f t="shared" si="1"/>
        <v/>
      </c>
      <c r="B131" s="1"/>
      <c r="C131" s="1"/>
      <c r="D131" s="1"/>
      <c r="E131" s="7"/>
      <c r="F131" s="1"/>
      <c r="G131" s="1"/>
      <c r="H131" s="7"/>
      <c r="I131" s="1"/>
      <c r="J131" s="1" t="str">
        <f>IF(B131="","",IF(F131&lt;&gt;"SOLD","",IF(OR(G131="",H131=""),"SELECT TEAM &amp; PRICE",IFERROR(IF(H131&gt;INDEX(Teams!$B$4:$B$13,MATCH(G131,Teams!$A$4:$A$13,0))-SUMIFS($H$4:$H$503,$G$4:$G$503,G131,$F$4:$F$503,"SOLD",$A$4:$A$503,"&lt;&gt;"&amp;A131),"OVER BUDGET","OK"),"INVALID TEAM"))))</f>
        <v/>
      </c>
      <c r="K131" s="1" t="str">
        <f>IF(F131="SOLD",COUNTIF($F$4:F131,"SOLD"),"")</f>
        <v/>
      </c>
      <c r="L131" s="1" t="str">
        <f>IF(F131="UNSOLD",COUNTIF($F$4:F131,"UNSOLD"),"")</f>
        <v/>
      </c>
      <c r="M131" s="1" t="str">
        <f>IF(AND(F131="SOLD",G131='Team View'!$B$3),COUNTIFS($F$4:F131,"SOLD",$G$4:G131,'Team View'!$B$3),"")</f>
        <v/>
      </c>
    </row>
    <row r="132" spans="1:13">
      <c r="A132" s="1" t="str">
        <f t="shared" ref="A132:A195" si="2">IF(B132="","",ROW()-3)</f>
        <v/>
      </c>
      <c r="B132" s="1"/>
      <c r="C132" s="1"/>
      <c r="D132" s="1"/>
      <c r="E132" s="7"/>
      <c r="F132" s="1"/>
      <c r="G132" s="1"/>
      <c r="H132" s="7"/>
      <c r="I132" s="1"/>
      <c r="J132" s="1" t="str">
        <f>IF(B132="","",IF(F132&lt;&gt;"SOLD","",IF(OR(G132="",H132=""),"SELECT TEAM &amp; PRICE",IFERROR(IF(H132&gt;INDEX(Teams!$B$4:$B$13,MATCH(G132,Teams!$A$4:$A$13,0))-SUMIFS($H$4:$H$503,$G$4:$G$503,G132,$F$4:$F$503,"SOLD",$A$4:$A$503,"&lt;&gt;"&amp;A132),"OVER BUDGET","OK"),"INVALID TEAM"))))</f>
        <v/>
      </c>
      <c r="K132" s="1" t="str">
        <f>IF(F132="SOLD",COUNTIF($F$4:F132,"SOLD"),"")</f>
        <v/>
      </c>
      <c r="L132" s="1" t="str">
        <f>IF(F132="UNSOLD",COUNTIF($F$4:F132,"UNSOLD"),"")</f>
        <v/>
      </c>
      <c r="M132" s="1" t="str">
        <f>IF(AND(F132="SOLD",G132='Team View'!$B$3),COUNTIFS($F$4:F132,"SOLD",$G$4:G132,'Team View'!$B$3),"")</f>
        <v/>
      </c>
    </row>
    <row r="133" spans="1:13">
      <c r="A133" s="1" t="str">
        <f t="shared" si="2"/>
        <v/>
      </c>
      <c r="B133" s="1"/>
      <c r="C133" s="1"/>
      <c r="D133" s="1"/>
      <c r="E133" s="7"/>
      <c r="F133" s="1"/>
      <c r="G133" s="1"/>
      <c r="H133" s="7"/>
      <c r="I133" s="1"/>
      <c r="J133" s="1" t="str">
        <f>IF(B133="","",IF(F133&lt;&gt;"SOLD","",IF(OR(G133="",H133=""),"SELECT TEAM &amp; PRICE",IFERROR(IF(H133&gt;INDEX(Teams!$B$4:$B$13,MATCH(G133,Teams!$A$4:$A$13,0))-SUMIFS($H$4:$H$503,$G$4:$G$503,G133,$F$4:$F$503,"SOLD",$A$4:$A$503,"&lt;&gt;"&amp;A133),"OVER BUDGET","OK"),"INVALID TEAM"))))</f>
        <v/>
      </c>
      <c r="K133" s="1" t="str">
        <f>IF(F133="SOLD",COUNTIF($F$4:F133,"SOLD"),"")</f>
        <v/>
      </c>
      <c r="L133" s="1" t="str">
        <f>IF(F133="UNSOLD",COUNTIF($F$4:F133,"UNSOLD"),"")</f>
        <v/>
      </c>
      <c r="M133" s="1" t="str">
        <f>IF(AND(F133="SOLD",G133='Team View'!$B$3),COUNTIFS($F$4:F133,"SOLD",$G$4:G133,'Team View'!$B$3),"")</f>
        <v/>
      </c>
    </row>
    <row r="134" spans="1:13">
      <c r="A134" s="1" t="str">
        <f t="shared" si="2"/>
        <v/>
      </c>
      <c r="B134" s="1"/>
      <c r="C134" s="1"/>
      <c r="D134" s="1"/>
      <c r="E134" s="7"/>
      <c r="F134" s="1"/>
      <c r="G134" s="1"/>
      <c r="H134" s="7"/>
      <c r="I134" s="1"/>
      <c r="J134" s="1" t="str">
        <f>IF(B134="","",IF(F134&lt;&gt;"SOLD","",IF(OR(G134="",H134=""),"SELECT TEAM &amp; PRICE",IFERROR(IF(H134&gt;INDEX(Teams!$B$4:$B$13,MATCH(G134,Teams!$A$4:$A$13,0))-SUMIFS($H$4:$H$503,$G$4:$G$503,G134,$F$4:$F$503,"SOLD",$A$4:$A$503,"&lt;&gt;"&amp;A134),"OVER BUDGET","OK"),"INVALID TEAM"))))</f>
        <v/>
      </c>
      <c r="K134" s="1" t="str">
        <f>IF(F134="SOLD",COUNTIF($F$4:F134,"SOLD"),"")</f>
        <v/>
      </c>
      <c r="L134" s="1" t="str">
        <f>IF(F134="UNSOLD",COUNTIF($F$4:F134,"UNSOLD"),"")</f>
        <v/>
      </c>
      <c r="M134" s="1" t="str">
        <f>IF(AND(F134="SOLD",G134='Team View'!$B$3),COUNTIFS($F$4:F134,"SOLD",$G$4:G134,'Team View'!$B$3),"")</f>
        <v/>
      </c>
    </row>
    <row r="135" spans="1:13">
      <c r="A135" s="1" t="str">
        <f t="shared" si="2"/>
        <v/>
      </c>
      <c r="B135" s="1"/>
      <c r="C135" s="1"/>
      <c r="D135" s="1"/>
      <c r="E135" s="7"/>
      <c r="F135" s="1"/>
      <c r="G135" s="1"/>
      <c r="H135" s="7"/>
      <c r="I135" s="1"/>
      <c r="J135" s="1" t="str">
        <f>IF(B135="","",IF(F135&lt;&gt;"SOLD","",IF(OR(G135="",H135=""),"SELECT TEAM &amp; PRICE",IFERROR(IF(H135&gt;INDEX(Teams!$B$4:$B$13,MATCH(G135,Teams!$A$4:$A$13,0))-SUMIFS($H$4:$H$503,$G$4:$G$503,G135,$F$4:$F$503,"SOLD",$A$4:$A$503,"&lt;&gt;"&amp;A135),"OVER BUDGET","OK"),"INVALID TEAM"))))</f>
        <v/>
      </c>
      <c r="K135" s="1" t="str">
        <f>IF(F135="SOLD",COUNTIF($F$4:F135,"SOLD"),"")</f>
        <v/>
      </c>
      <c r="L135" s="1" t="str">
        <f>IF(F135="UNSOLD",COUNTIF($F$4:F135,"UNSOLD"),"")</f>
        <v/>
      </c>
      <c r="M135" s="1" t="str">
        <f>IF(AND(F135="SOLD",G135='Team View'!$B$3),COUNTIFS($F$4:F135,"SOLD",$G$4:G135,'Team View'!$B$3),"")</f>
        <v/>
      </c>
    </row>
    <row r="136" spans="1:13">
      <c r="A136" s="1" t="str">
        <f t="shared" si="2"/>
        <v/>
      </c>
      <c r="B136" s="1"/>
      <c r="C136" s="1"/>
      <c r="D136" s="1"/>
      <c r="E136" s="7"/>
      <c r="F136" s="1"/>
      <c r="G136" s="1"/>
      <c r="H136" s="7"/>
      <c r="I136" s="1"/>
      <c r="J136" s="1" t="str">
        <f>IF(B136="","",IF(F136&lt;&gt;"SOLD","",IF(OR(G136="",H136=""),"SELECT TEAM &amp; PRICE",IFERROR(IF(H136&gt;INDEX(Teams!$B$4:$B$13,MATCH(G136,Teams!$A$4:$A$13,0))-SUMIFS($H$4:$H$503,$G$4:$G$503,G136,$F$4:$F$503,"SOLD",$A$4:$A$503,"&lt;&gt;"&amp;A136),"OVER BUDGET","OK"),"INVALID TEAM"))))</f>
        <v/>
      </c>
      <c r="K136" s="1" t="str">
        <f>IF(F136="SOLD",COUNTIF($F$4:F136,"SOLD"),"")</f>
        <v/>
      </c>
      <c r="L136" s="1" t="str">
        <f>IF(F136="UNSOLD",COUNTIF($F$4:F136,"UNSOLD"),"")</f>
        <v/>
      </c>
      <c r="M136" s="1" t="str">
        <f>IF(AND(F136="SOLD",G136='Team View'!$B$3),COUNTIFS($F$4:F136,"SOLD",$G$4:G136,'Team View'!$B$3),"")</f>
        <v/>
      </c>
    </row>
    <row r="137" spans="1:13">
      <c r="A137" s="1" t="str">
        <f t="shared" si="2"/>
        <v/>
      </c>
      <c r="B137" s="1"/>
      <c r="C137" s="1"/>
      <c r="D137" s="1"/>
      <c r="E137" s="7"/>
      <c r="F137" s="1"/>
      <c r="G137" s="1"/>
      <c r="H137" s="7"/>
      <c r="I137" s="1"/>
      <c r="J137" s="1" t="str">
        <f>IF(B137="","",IF(F137&lt;&gt;"SOLD","",IF(OR(G137="",H137=""),"SELECT TEAM &amp; PRICE",IFERROR(IF(H137&gt;INDEX(Teams!$B$4:$B$13,MATCH(G137,Teams!$A$4:$A$13,0))-SUMIFS($H$4:$H$503,$G$4:$G$503,G137,$F$4:$F$503,"SOLD",$A$4:$A$503,"&lt;&gt;"&amp;A137),"OVER BUDGET","OK"),"INVALID TEAM"))))</f>
        <v/>
      </c>
      <c r="K137" s="1" t="str">
        <f>IF(F137="SOLD",COUNTIF($F$4:F137,"SOLD"),"")</f>
        <v/>
      </c>
      <c r="L137" s="1" t="str">
        <f>IF(F137="UNSOLD",COUNTIF($F$4:F137,"UNSOLD"),"")</f>
        <v/>
      </c>
      <c r="M137" s="1" t="str">
        <f>IF(AND(F137="SOLD",G137='Team View'!$B$3),COUNTIFS($F$4:F137,"SOLD",$G$4:G137,'Team View'!$B$3),"")</f>
        <v/>
      </c>
    </row>
    <row r="138" spans="1:13">
      <c r="A138" s="1" t="str">
        <f t="shared" si="2"/>
        <v/>
      </c>
      <c r="B138" s="1"/>
      <c r="C138" s="1"/>
      <c r="D138" s="1"/>
      <c r="E138" s="7"/>
      <c r="F138" s="1"/>
      <c r="G138" s="1"/>
      <c r="H138" s="7"/>
      <c r="I138" s="1"/>
      <c r="J138" s="1" t="str">
        <f>IF(B138="","",IF(F138&lt;&gt;"SOLD","",IF(OR(G138="",H138=""),"SELECT TEAM &amp; PRICE",IFERROR(IF(H138&gt;INDEX(Teams!$B$4:$B$13,MATCH(G138,Teams!$A$4:$A$13,0))-SUMIFS($H$4:$H$503,$G$4:$G$503,G138,$F$4:$F$503,"SOLD",$A$4:$A$503,"&lt;&gt;"&amp;A138),"OVER BUDGET","OK"),"INVALID TEAM"))))</f>
        <v/>
      </c>
      <c r="K138" s="1" t="str">
        <f>IF(F138="SOLD",COUNTIF($F$4:F138,"SOLD"),"")</f>
        <v/>
      </c>
      <c r="L138" s="1" t="str">
        <f>IF(F138="UNSOLD",COUNTIF($F$4:F138,"UNSOLD"),"")</f>
        <v/>
      </c>
      <c r="M138" s="1" t="str">
        <f>IF(AND(F138="SOLD",G138='Team View'!$B$3),COUNTIFS($F$4:F138,"SOLD",$G$4:G138,'Team View'!$B$3),"")</f>
        <v/>
      </c>
    </row>
    <row r="139" spans="1:13">
      <c r="A139" s="1" t="str">
        <f t="shared" si="2"/>
        <v/>
      </c>
      <c r="B139" s="1"/>
      <c r="C139" s="1"/>
      <c r="D139" s="1"/>
      <c r="E139" s="7"/>
      <c r="F139" s="1"/>
      <c r="G139" s="1"/>
      <c r="H139" s="7"/>
      <c r="I139" s="1"/>
      <c r="J139" s="1" t="str">
        <f>IF(B139="","",IF(F139&lt;&gt;"SOLD","",IF(OR(G139="",H139=""),"SELECT TEAM &amp; PRICE",IFERROR(IF(H139&gt;INDEX(Teams!$B$4:$B$13,MATCH(G139,Teams!$A$4:$A$13,0))-SUMIFS($H$4:$H$503,$G$4:$G$503,G139,$F$4:$F$503,"SOLD",$A$4:$A$503,"&lt;&gt;"&amp;A139),"OVER BUDGET","OK"),"INVALID TEAM"))))</f>
        <v/>
      </c>
      <c r="K139" s="1" t="str">
        <f>IF(F139="SOLD",COUNTIF($F$4:F139,"SOLD"),"")</f>
        <v/>
      </c>
      <c r="L139" s="1" t="str">
        <f>IF(F139="UNSOLD",COUNTIF($F$4:F139,"UNSOLD"),"")</f>
        <v/>
      </c>
      <c r="M139" s="1" t="str">
        <f>IF(AND(F139="SOLD",G139='Team View'!$B$3),COUNTIFS($F$4:F139,"SOLD",$G$4:G139,'Team View'!$B$3),"")</f>
        <v/>
      </c>
    </row>
    <row r="140" spans="1:13">
      <c r="A140" s="1" t="str">
        <f t="shared" si="2"/>
        <v/>
      </c>
      <c r="B140" s="1"/>
      <c r="C140" s="1"/>
      <c r="D140" s="1"/>
      <c r="E140" s="7"/>
      <c r="F140" s="1"/>
      <c r="G140" s="1"/>
      <c r="H140" s="7"/>
      <c r="I140" s="1"/>
      <c r="J140" s="1" t="str">
        <f>IF(B140="","",IF(F140&lt;&gt;"SOLD","",IF(OR(G140="",H140=""),"SELECT TEAM &amp; PRICE",IFERROR(IF(H140&gt;INDEX(Teams!$B$4:$B$13,MATCH(G140,Teams!$A$4:$A$13,0))-SUMIFS($H$4:$H$503,$G$4:$G$503,G140,$F$4:$F$503,"SOLD",$A$4:$A$503,"&lt;&gt;"&amp;A140),"OVER BUDGET","OK"),"INVALID TEAM"))))</f>
        <v/>
      </c>
      <c r="K140" s="1" t="str">
        <f>IF(F140="SOLD",COUNTIF($F$4:F140,"SOLD"),"")</f>
        <v/>
      </c>
      <c r="L140" s="1" t="str">
        <f>IF(F140="UNSOLD",COUNTIF($F$4:F140,"UNSOLD"),"")</f>
        <v/>
      </c>
      <c r="M140" s="1" t="str">
        <f>IF(AND(F140="SOLD",G140='Team View'!$B$3),COUNTIFS($F$4:F140,"SOLD",$G$4:G140,'Team View'!$B$3),"")</f>
        <v/>
      </c>
    </row>
    <row r="141" spans="1:13">
      <c r="A141" s="1" t="str">
        <f t="shared" si="2"/>
        <v/>
      </c>
      <c r="B141" s="1"/>
      <c r="C141" s="1"/>
      <c r="D141" s="1"/>
      <c r="E141" s="7"/>
      <c r="F141" s="1"/>
      <c r="G141" s="1"/>
      <c r="H141" s="7"/>
      <c r="I141" s="1"/>
      <c r="J141" s="1" t="str">
        <f>IF(B141="","",IF(F141&lt;&gt;"SOLD","",IF(OR(G141="",H141=""),"SELECT TEAM &amp; PRICE",IFERROR(IF(H141&gt;INDEX(Teams!$B$4:$B$13,MATCH(G141,Teams!$A$4:$A$13,0))-SUMIFS($H$4:$H$503,$G$4:$G$503,G141,$F$4:$F$503,"SOLD",$A$4:$A$503,"&lt;&gt;"&amp;A141),"OVER BUDGET","OK"),"INVALID TEAM"))))</f>
        <v/>
      </c>
      <c r="K141" s="1" t="str">
        <f>IF(F141="SOLD",COUNTIF($F$4:F141,"SOLD"),"")</f>
        <v/>
      </c>
      <c r="L141" s="1" t="str">
        <f>IF(F141="UNSOLD",COUNTIF($F$4:F141,"UNSOLD"),"")</f>
        <v/>
      </c>
      <c r="M141" s="1" t="str">
        <f>IF(AND(F141="SOLD",G141='Team View'!$B$3),COUNTIFS($F$4:F141,"SOLD",$G$4:G141,'Team View'!$B$3),"")</f>
        <v/>
      </c>
    </row>
    <row r="142" spans="1:13">
      <c r="A142" s="1" t="str">
        <f t="shared" si="2"/>
        <v/>
      </c>
      <c r="B142" s="1"/>
      <c r="C142" s="1"/>
      <c r="D142" s="1"/>
      <c r="E142" s="7"/>
      <c r="F142" s="1"/>
      <c r="G142" s="1"/>
      <c r="H142" s="7"/>
      <c r="I142" s="1"/>
      <c r="J142" s="1" t="str">
        <f>IF(B142="","",IF(F142&lt;&gt;"SOLD","",IF(OR(G142="",H142=""),"SELECT TEAM &amp; PRICE",IFERROR(IF(H142&gt;INDEX(Teams!$B$4:$B$13,MATCH(G142,Teams!$A$4:$A$13,0))-SUMIFS($H$4:$H$503,$G$4:$G$503,G142,$F$4:$F$503,"SOLD",$A$4:$A$503,"&lt;&gt;"&amp;A142),"OVER BUDGET","OK"),"INVALID TEAM"))))</f>
        <v/>
      </c>
      <c r="K142" s="1" t="str">
        <f>IF(F142="SOLD",COUNTIF($F$4:F142,"SOLD"),"")</f>
        <v/>
      </c>
      <c r="L142" s="1" t="str">
        <f>IF(F142="UNSOLD",COUNTIF($F$4:F142,"UNSOLD"),"")</f>
        <v/>
      </c>
      <c r="M142" s="1" t="str">
        <f>IF(AND(F142="SOLD",G142='Team View'!$B$3),COUNTIFS($F$4:F142,"SOLD",$G$4:G142,'Team View'!$B$3),"")</f>
        <v/>
      </c>
    </row>
    <row r="143" spans="1:13">
      <c r="A143" s="1" t="str">
        <f t="shared" si="2"/>
        <v/>
      </c>
      <c r="B143" s="1"/>
      <c r="C143" s="1"/>
      <c r="D143" s="1"/>
      <c r="E143" s="7"/>
      <c r="F143" s="1"/>
      <c r="G143" s="1"/>
      <c r="H143" s="7"/>
      <c r="I143" s="1"/>
      <c r="J143" s="1" t="str">
        <f>IF(B143="","",IF(F143&lt;&gt;"SOLD","",IF(OR(G143="",H143=""),"SELECT TEAM &amp; PRICE",IFERROR(IF(H143&gt;INDEX(Teams!$B$4:$B$13,MATCH(G143,Teams!$A$4:$A$13,0))-SUMIFS($H$4:$H$503,$G$4:$G$503,G143,$F$4:$F$503,"SOLD",$A$4:$A$503,"&lt;&gt;"&amp;A143),"OVER BUDGET","OK"),"INVALID TEAM"))))</f>
        <v/>
      </c>
      <c r="K143" s="1" t="str">
        <f>IF(F143="SOLD",COUNTIF($F$4:F143,"SOLD"),"")</f>
        <v/>
      </c>
      <c r="L143" s="1" t="str">
        <f>IF(F143="UNSOLD",COUNTIF($F$4:F143,"UNSOLD"),"")</f>
        <v/>
      </c>
      <c r="M143" s="1" t="str">
        <f>IF(AND(F143="SOLD",G143='Team View'!$B$3),COUNTIFS($F$4:F143,"SOLD",$G$4:G143,'Team View'!$B$3),"")</f>
        <v/>
      </c>
    </row>
    <row r="144" spans="1:13">
      <c r="A144" s="1" t="str">
        <f t="shared" si="2"/>
        <v/>
      </c>
      <c r="B144" s="1"/>
      <c r="C144" s="1"/>
      <c r="D144" s="1"/>
      <c r="E144" s="7"/>
      <c r="F144" s="1"/>
      <c r="G144" s="1"/>
      <c r="H144" s="7"/>
      <c r="I144" s="1"/>
      <c r="J144" s="1" t="str">
        <f>IF(B144="","",IF(F144&lt;&gt;"SOLD","",IF(OR(G144="",H144=""),"SELECT TEAM &amp; PRICE",IFERROR(IF(H144&gt;INDEX(Teams!$B$4:$B$13,MATCH(G144,Teams!$A$4:$A$13,0))-SUMIFS($H$4:$H$503,$G$4:$G$503,G144,$F$4:$F$503,"SOLD",$A$4:$A$503,"&lt;&gt;"&amp;A144),"OVER BUDGET","OK"),"INVALID TEAM"))))</f>
        <v/>
      </c>
      <c r="K144" s="1" t="str">
        <f>IF(F144="SOLD",COUNTIF($F$4:F144,"SOLD"),"")</f>
        <v/>
      </c>
      <c r="L144" s="1" t="str">
        <f>IF(F144="UNSOLD",COUNTIF($F$4:F144,"UNSOLD"),"")</f>
        <v/>
      </c>
      <c r="M144" s="1" t="str">
        <f>IF(AND(F144="SOLD",G144='Team View'!$B$3),COUNTIFS($F$4:F144,"SOLD",$G$4:G144,'Team View'!$B$3),"")</f>
        <v/>
      </c>
    </row>
    <row r="145" spans="1:13">
      <c r="A145" s="1" t="str">
        <f t="shared" si="2"/>
        <v/>
      </c>
      <c r="B145" s="1"/>
      <c r="C145" s="1"/>
      <c r="D145" s="1"/>
      <c r="E145" s="7"/>
      <c r="F145" s="1"/>
      <c r="G145" s="1"/>
      <c r="H145" s="7"/>
      <c r="I145" s="1"/>
      <c r="J145" s="1" t="str">
        <f>IF(B145="","",IF(F145&lt;&gt;"SOLD","",IF(OR(G145="",H145=""),"SELECT TEAM &amp; PRICE",IFERROR(IF(H145&gt;INDEX(Teams!$B$4:$B$13,MATCH(G145,Teams!$A$4:$A$13,0))-SUMIFS($H$4:$H$503,$G$4:$G$503,G145,$F$4:$F$503,"SOLD",$A$4:$A$503,"&lt;&gt;"&amp;A145),"OVER BUDGET","OK"),"INVALID TEAM"))))</f>
        <v/>
      </c>
      <c r="K145" s="1" t="str">
        <f>IF(F145="SOLD",COUNTIF($F$4:F145,"SOLD"),"")</f>
        <v/>
      </c>
      <c r="L145" s="1" t="str">
        <f>IF(F145="UNSOLD",COUNTIF($F$4:F145,"UNSOLD"),"")</f>
        <v/>
      </c>
      <c r="M145" s="1" t="str">
        <f>IF(AND(F145="SOLD",G145='Team View'!$B$3),COUNTIFS($F$4:F145,"SOLD",$G$4:G145,'Team View'!$B$3),"")</f>
        <v/>
      </c>
    </row>
    <row r="146" spans="1:13">
      <c r="A146" s="1" t="str">
        <f t="shared" si="2"/>
        <v/>
      </c>
      <c r="B146" s="1"/>
      <c r="C146" s="1"/>
      <c r="D146" s="1"/>
      <c r="E146" s="7"/>
      <c r="F146" s="1"/>
      <c r="G146" s="1"/>
      <c r="H146" s="7"/>
      <c r="I146" s="1"/>
      <c r="J146" s="1" t="str">
        <f>IF(B146="","",IF(F146&lt;&gt;"SOLD","",IF(OR(G146="",H146=""),"SELECT TEAM &amp; PRICE",IFERROR(IF(H146&gt;INDEX(Teams!$B$4:$B$13,MATCH(G146,Teams!$A$4:$A$13,0))-SUMIFS($H$4:$H$503,$G$4:$G$503,G146,$F$4:$F$503,"SOLD",$A$4:$A$503,"&lt;&gt;"&amp;A146),"OVER BUDGET","OK"),"INVALID TEAM"))))</f>
        <v/>
      </c>
      <c r="K146" s="1" t="str">
        <f>IF(F146="SOLD",COUNTIF($F$4:F146,"SOLD"),"")</f>
        <v/>
      </c>
      <c r="L146" s="1" t="str">
        <f>IF(F146="UNSOLD",COUNTIF($F$4:F146,"UNSOLD"),"")</f>
        <v/>
      </c>
      <c r="M146" s="1" t="str">
        <f>IF(AND(F146="SOLD",G146='Team View'!$B$3),COUNTIFS($F$4:F146,"SOLD",$G$4:G146,'Team View'!$B$3),"")</f>
        <v/>
      </c>
    </row>
    <row r="147" spans="1:13">
      <c r="A147" s="1" t="str">
        <f t="shared" si="2"/>
        <v/>
      </c>
      <c r="B147" s="1"/>
      <c r="C147" s="1"/>
      <c r="D147" s="1"/>
      <c r="E147" s="7"/>
      <c r="F147" s="1"/>
      <c r="G147" s="1"/>
      <c r="H147" s="7"/>
      <c r="I147" s="1"/>
      <c r="J147" s="1" t="str">
        <f>IF(B147="","",IF(F147&lt;&gt;"SOLD","",IF(OR(G147="",H147=""),"SELECT TEAM &amp; PRICE",IFERROR(IF(H147&gt;INDEX(Teams!$B$4:$B$13,MATCH(G147,Teams!$A$4:$A$13,0))-SUMIFS($H$4:$H$503,$G$4:$G$503,G147,$F$4:$F$503,"SOLD",$A$4:$A$503,"&lt;&gt;"&amp;A147),"OVER BUDGET","OK"),"INVALID TEAM"))))</f>
        <v/>
      </c>
      <c r="K147" s="1" t="str">
        <f>IF(F147="SOLD",COUNTIF($F$4:F147,"SOLD"),"")</f>
        <v/>
      </c>
      <c r="L147" s="1" t="str">
        <f>IF(F147="UNSOLD",COUNTIF($F$4:F147,"UNSOLD"),"")</f>
        <v/>
      </c>
      <c r="M147" s="1" t="str">
        <f>IF(AND(F147="SOLD",G147='Team View'!$B$3),COUNTIFS($F$4:F147,"SOLD",$G$4:G147,'Team View'!$B$3),"")</f>
        <v/>
      </c>
    </row>
    <row r="148" spans="1:13">
      <c r="A148" s="1" t="str">
        <f t="shared" si="2"/>
        <v/>
      </c>
      <c r="B148" s="1"/>
      <c r="C148" s="1"/>
      <c r="D148" s="1"/>
      <c r="E148" s="7"/>
      <c r="F148" s="1"/>
      <c r="G148" s="1"/>
      <c r="H148" s="7"/>
      <c r="I148" s="1"/>
      <c r="J148" s="1" t="str">
        <f>IF(B148="","",IF(F148&lt;&gt;"SOLD","",IF(OR(G148="",H148=""),"SELECT TEAM &amp; PRICE",IFERROR(IF(H148&gt;INDEX(Teams!$B$4:$B$13,MATCH(G148,Teams!$A$4:$A$13,0))-SUMIFS($H$4:$H$503,$G$4:$G$503,G148,$F$4:$F$503,"SOLD",$A$4:$A$503,"&lt;&gt;"&amp;A148),"OVER BUDGET","OK"),"INVALID TEAM"))))</f>
        <v/>
      </c>
      <c r="K148" s="1" t="str">
        <f>IF(F148="SOLD",COUNTIF($F$4:F148,"SOLD"),"")</f>
        <v/>
      </c>
      <c r="L148" s="1" t="str">
        <f>IF(F148="UNSOLD",COUNTIF($F$4:F148,"UNSOLD"),"")</f>
        <v/>
      </c>
      <c r="M148" s="1" t="str">
        <f>IF(AND(F148="SOLD",G148='Team View'!$B$3),COUNTIFS($F$4:F148,"SOLD",$G$4:G148,'Team View'!$B$3),"")</f>
        <v/>
      </c>
    </row>
    <row r="149" spans="1:13">
      <c r="A149" s="1" t="str">
        <f t="shared" si="2"/>
        <v/>
      </c>
      <c r="B149" s="1"/>
      <c r="C149" s="1"/>
      <c r="D149" s="1"/>
      <c r="E149" s="7"/>
      <c r="F149" s="1"/>
      <c r="G149" s="1"/>
      <c r="H149" s="7"/>
      <c r="I149" s="1"/>
      <c r="J149" s="1" t="str">
        <f>IF(B149="","",IF(F149&lt;&gt;"SOLD","",IF(OR(G149="",H149=""),"SELECT TEAM &amp; PRICE",IFERROR(IF(H149&gt;INDEX(Teams!$B$4:$B$13,MATCH(G149,Teams!$A$4:$A$13,0))-SUMIFS($H$4:$H$503,$G$4:$G$503,G149,$F$4:$F$503,"SOLD",$A$4:$A$503,"&lt;&gt;"&amp;A149),"OVER BUDGET","OK"),"INVALID TEAM"))))</f>
        <v/>
      </c>
      <c r="K149" s="1" t="str">
        <f>IF(F149="SOLD",COUNTIF($F$4:F149,"SOLD"),"")</f>
        <v/>
      </c>
      <c r="L149" s="1" t="str">
        <f>IF(F149="UNSOLD",COUNTIF($F$4:F149,"UNSOLD"),"")</f>
        <v/>
      </c>
      <c r="M149" s="1" t="str">
        <f>IF(AND(F149="SOLD",G149='Team View'!$B$3),COUNTIFS($F$4:F149,"SOLD",$G$4:G149,'Team View'!$B$3),"")</f>
        <v/>
      </c>
    </row>
    <row r="150" spans="1:13">
      <c r="A150" s="1" t="str">
        <f t="shared" si="2"/>
        <v/>
      </c>
      <c r="B150" s="1"/>
      <c r="C150" s="1"/>
      <c r="D150" s="1"/>
      <c r="E150" s="7"/>
      <c r="F150" s="1"/>
      <c r="G150" s="1"/>
      <c r="H150" s="7"/>
      <c r="I150" s="1"/>
      <c r="J150" s="1" t="str">
        <f>IF(B150="","",IF(F150&lt;&gt;"SOLD","",IF(OR(G150="",H150=""),"SELECT TEAM &amp; PRICE",IFERROR(IF(H150&gt;INDEX(Teams!$B$4:$B$13,MATCH(G150,Teams!$A$4:$A$13,0))-SUMIFS($H$4:$H$503,$G$4:$G$503,G150,$F$4:$F$503,"SOLD",$A$4:$A$503,"&lt;&gt;"&amp;A150),"OVER BUDGET","OK"),"INVALID TEAM"))))</f>
        <v/>
      </c>
      <c r="K150" s="1" t="str">
        <f>IF(F150="SOLD",COUNTIF($F$4:F150,"SOLD"),"")</f>
        <v/>
      </c>
      <c r="L150" s="1" t="str">
        <f>IF(F150="UNSOLD",COUNTIF($F$4:F150,"UNSOLD"),"")</f>
        <v/>
      </c>
      <c r="M150" s="1" t="str">
        <f>IF(AND(F150="SOLD",G150='Team View'!$B$3),COUNTIFS($F$4:F150,"SOLD",$G$4:G150,'Team View'!$B$3),"")</f>
        <v/>
      </c>
    </row>
    <row r="151" spans="1:13">
      <c r="A151" s="1" t="str">
        <f t="shared" si="2"/>
        <v/>
      </c>
      <c r="B151" s="1"/>
      <c r="C151" s="1"/>
      <c r="D151" s="1"/>
      <c r="E151" s="7"/>
      <c r="F151" s="1"/>
      <c r="G151" s="1"/>
      <c r="H151" s="7"/>
      <c r="I151" s="1"/>
      <c r="J151" s="1" t="str">
        <f>IF(B151="","",IF(F151&lt;&gt;"SOLD","",IF(OR(G151="",H151=""),"SELECT TEAM &amp; PRICE",IFERROR(IF(H151&gt;INDEX(Teams!$B$4:$B$13,MATCH(G151,Teams!$A$4:$A$13,0))-SUMIFS($H$4:$H$503,$G$4:$G$503,G151,$F$4:$F$503,"SOLD",$A$4:$A$503,"&lt;&gt;"&amp;A151),"OVER BUDGET","OK"),"INVALID TEAM"))))</f>
        <v/>
      </c>
      <c r="K151" s="1" t="str">
        <f>IF(F151="SOLD",COUNTIF($F$4:F151,"SOLD"),"")</f>
        <v/>
      </c>
      <c r="L151" s="1" t="str">
        <f>IF(F151="UNSOLD",COUNTIF($F$4:F151,"UNSOLD"),"")</f>
        <v/>
      </c>
      <c r="M151" s="1" t="str">
        <f>IF(AND(F151="SOLD",G151='Team View'!$B$3),COUNTIFS($F$4:F151,"SOLD",$G$4:G151,'Team View'!$B$3),"")</f>
        <v/>
      </c>
    </row>
    <row r="152" spans="1:13">
      <c r="A152" s="1" t="str">
        <f t="shared" si="2"/>
        <v/>
      </c>
      <c r="B152" s="1"/>
      <c r="C152" s="1"/>
      <c r="D152" s="1"/>
      <c r="E152" s="7"/>
      <c r="F152" s="1"/>
      <c r="G152" s="1"/>
      <c r="H152" s="7"/>
      <c r="I152" s="1"/>
      <c r="J152" s="1" t="str">
        <f>IF(B152="","",IF(F152&lt;&gt;"SOLD","",IF(OR(G152="",H152=""),"SELECT TEAM &amp; PRICE",IFERROR(IF(H152&gt;INDEX(Teams!$B$4:$B$13,MATCH(G152,Teams!$A$4:$A$13,0))-SUMIFS($H$4:$H$503,$G$4:$G$503,G152,$F$4:$F$503,"SOLD",$A$4:$A$503,"&lt;&gt;"&amp;A152),"OVER BUDGET","OK"),"INVALID TEAM"))))</f>
        <v/>
      </c>
      <c r="K152" s="1" t="str">
        <f>IF(F152="SOLD",COUNTIF($F$4:F152,"SOLD"),"")</f>
        <v/>
      </c>
      <c r="L152" s="1" t="str">
        <f>IF(F152="UNSOLD",COUNTIF($F$4:F152,"UNSOLD"),"")</f>
        <v/>
      </c>
      <c r="M152" s="1" t="str">
        <f>IF(AND(F152="SOLD",G152='Team View'!$B$3),COUNTIFS($F$4:F152,"SOLD",$G$4:G152,'Team View'!$B$3),"")</f>
        <v/>
      </c>
    </row>
    <row r="153" spans="1:13">
      <c r="A153" s="1" t="str">
        <f t="shared" si="2"/>
        <v/>
      </c>
      <c r="B153" s="1"/>
      <c r="C153" s="1"/>
      <c r="D153" s="1"/>
      <c r="E153" s="7"/>
      <c r="F153" s="1"/>
      <c r="G153" s="1"/>
      <c r="H153" s="7"/>
      <c r="I153" s="1"/>
      <c r="J153" s="1" t="str">
        <f>IF(B153="","",IF(F153&lt;&gt;"SOLD","",IF(OR(G153="",H153=""),"SELECT TEAM &amp; PRICE",IFERROR(IF(H153&gt;INDEX(Teams!$B$4:$B$13,MATCH(G153,Teams!$A$4:$A$13,0))-SUMIFS($H$4:$H$503,$G$4:$G$503,G153,$F$4:$F$503,"SOLD",$A$4:$A$503,"&lt;&gt;"&amp;A153),"OVER BUDGET","OK"),"INVALID TEAM"))))</f>
        <v/>
      </c>
      <c r="K153" s="1" t="str">
        <f>IF(F153="SOLD",COUNTIF($F$4:F153,"SOLD"),"")</f>
        <v/>
      </c>
      <c r="L153" s="1" t="str">
        <f>IF(F153="UNSOLD",COUNTIF($F$4:F153,"UNSOLD"),"")</f>
        <v/>
      </c>
      <c r="M153" s="1" t="str">
        <f>IF(AND(F153="SOLD",G153='Team View'!$B$3),COUNTIFS($F$4:F153,"SOLD",$G$4:G153,'Team View'!$B$3),"")</f>
        <v/>
      </c>
    </row>
    <row r="154" spans="1:13">
      <c r="A154" s="1" t="str">
        <f t="shared" si="2"/>
        <v/>
      </c>
      <c r="B154" s="1"/>
      <c r="C154" s="1"/>
      <c r="D154" s="1"/>
      <c r="E154" s="7"/>
      <c r="F154" s="1"/>
      <c r="G154" s="1"/>
      <c r="H154" s="7"/>
      <c r="I154" s="1"/>
      <c r="J154" s="1" t="str">
        <f>IF(B154="","",IF(F154&lt;&gt;"SOLD","",IF(OR(G154="",H154=""),"SELECT TEAM &amp; PRICE",IFERROR(IF(H154&gt;INDEX(Teams!$B$4:$B$13,MATCH(G154,Teams!$A$4:$A$13,0))-SUMIFS($H$4:$H$503,$G$4:$G$503,G154,$F$4:$F$503,"SOLD",$A$4:$A$503,"&lt;&gt;"&amp;A154),"OVER BUDGET","OK"),"INVALID TEAM"))))</f>
        <v/>
      </c>
      <c r="K154" s="1" t="str">
        <f>IF(F154="SOLD",COUNTIF($F$4:F154,"SOLD"),"")</f>
        <v/>
      </c>
      <c r="L154" s="1" t="str">
        <f>IF(F154="UNSOLD",COUNTIF($F$4:F154,"UNSOLD"),"")</f>
        <v/>
      </c>
      <c r="M154" s="1" t="str">
        <f>IF(AND(F154="SOLD",G154='Team View'!$B$3),COUNTIFS($F$4:F154,"SOLD",$G$4:G154,'Team View'!$B$3),"")</f>
        <v/>
      </c>
    </row>
    <row r="155" spans="1:13">
      <c r="A155" s="1" t="str">
        <f t="shared" si="2"/>
        <v/>
      </c>
      <c r="B155" s="1"/>
      <c r="C155" s="1"/>
      <c r="D155" s="1"/>
      <c r="E155" s="7"/>
      <c r="F155" s="1"/>
      <c r="G155" s="1"/>
      <c r="H155" s="7"/>
      <c r="I155" s="1"/>
      <c r="J155" s="1" t="str">
        <f>IF(B155="","",IF(F155&lt;&gt;"SOLD","",IF(OR(G155="",H155=""),"SELECT TEAM &amp; PRICE",IFERROR(IF(H155&gt;INDEX(Teams!$B$4:$B$13,MATCH(G155,Teams!$A$4:$A$13,0))-SUMIFS($H$4:$H$503,$G$4:$G$503,G155,$F$4:$F$503,"SOLD",$A$4:$A$503,"&lt;&gt;"&amp;A155),"OVER BUDGET","OK"),"INVALID TEAM"))))</f>
        <v/>
      </c>
      <c r="K155" s="1" t="str">
        <f>IF(F155="SOLD",COUNTIF($F$4:F155,"SOLD"),"")</f>
        <v/>
      </c>
      <c r="L155" s="1" t="str">
        <f>IF(F155="UNSOLD",COUNTIF($F$4:F155,"UNSOLD"),"")</f>
        <v/>
      </c>
      <c r="M155" s="1" t="str">
        <f>IF(AND(F155="SOLD",G155='Team View'!$B$3),COUNTIFS($F$4:F155,"SOLD",$G$4:G155,'Team View'!$B$3),"")</f>
        <v/>
      </c>
    </row>
    <row r="156" spans="1:13">
      <c r="A156" s="1" t="str">
        <f t="shared" si="2"/>
        <v/>
      </c>
      <c r="B156" s="1"/>
      <c r="C156" s="1"/>
      <c r="D156" s="1"/>
      <c r="E156" s="7"/>
      <c r="F156" s="1"/>
      <c r="G156" s="1"/>
      <c r="H156" s="7"/>
      <c r="I156" s="1"/>
      <c r="J156" s="1" t="str">
        <f>IF(B156="","",IF(F156&lt;&gt;"SOLD","",IF(OR(G156="",H156=""),"SELECT TEAM &amp; PRICE",IFERROR(IF(H156&gt;INDEX(Teams!$B$4:$B$13,MATCH(G156,Teams!$A$4:$A$13,0))-SUMIFS($H$4:$H$503,$G$4:$G$503,G156,$F$4:$F$503,"SOLD",$A$4:$A$503,"&lt;&gt;"&amp;A156),"OVER BUDGET","OK"),"INVALID TEAM"))))</f>
        <v/>
      </c>
      <c r="K156" s="1" t="str">
        <f>IF(F156="SOLD",COUNTIF($F$4:F156,"SOLD"),"")</f>
        <v/>
      </c>
      <c r="L156" s="1" t="str">
        <f>IF(F156="UNSOLD",COUNTIF($F$4:F156,"UNSOLD"),"")</f>
        <v/>
      </c>
      <c r="M156" s="1" t="str">
        <f>IF(AND(F156="SOLD",G156='Team View'!$B$3),COUNTIFS($F$4:F156,"SOLD",$G$4:G156,'Team View'!$B$3),"")</f>
        <v/>
      </c>
    </row>
    <row r="157" spans="1:13">
      <c r="A157" s="1" t="str">
        <f t="shared" si="2"/>
        <v/>
      </c>
      <c r="B157" s="1"/>
      <c r="C157" s="1"/>
      <c r="D157" s="1"/>
      <c r="E157" s="7"/>
      <c r="F157" s="1"/>
      <c r="G157" s="1"/>
      <c r="H157" s="7"/>
      <c r="I157" s="1"/>
      <c r="J157" s="1" t="str">
        <f>IF(B157="","",IF(F157&lt;&gt;"SOLD","",IF(OR(G157="",H157=""),"SELECT TEAM &amp; PRICE",IFERROR(IF(H157&gt;INDEX(Teams!$B$4:$B$13,MATCH(G157,Teams!$A$4:$A$13,0))-SUMIFS($H$4:$H$503,$G$4:$G$503,G157,$F$4:$F$503,"SOLD",$A$4:$A$503,"&lt;&gt;"&amp;A157),"OVER BUDGET","OK"),"INVALID TEAM"))))</f>
        <v/>
      </c>
      <c r="K157" s="1" t="str">
        <f>IF(F157="SOLD",COUNTIF($F$4:F157,"SOLD"),"")</f>
        <v/>
      </c>
      <c r="L157" s="1" t="str">
        <f>IF(F157="UNSOLD",COUNTIF($F$4:F157,"UNSOLD"),"")</f>
        <v/>
      </c>
      <c r="M157" s="1" t="str">
        <f>IF(AND(F157="SOLD",G157='Team View'!$B$3),COUNTIFS($F$4:F157,"SOLD",$G$4:G157,'Team View'!$B$3),"")</f>
        <v/>
      </c>
    </row>
    <row r="158" spans="1:13">
      <c r="A158" s="1" t="str">
        <f t="shared" si="2"/>
        <v/>
      </c>
      <c r="B158" s="1"/>
      <c r="C158" s="1"/>
      <c r="D158" s="1"/>
      <c r="E158" s="7"/>
      <c r="F158" s="1"/>
      <c r="G158" s="1"/>
      <c r="H158" s="7"/>
      <c r="I158" s="1"/>
      <c r="J158" s="1" t="str">
        <f>IF(B158="","",IF(F158&lt;&gt;"SOLD","",IF(OR(G158="",H158=""),"SELECT TEAM &amp; PRICE",IFERROR(IF(H158&gt;INDEX(Teams!$B$4:$B$13,MATCH(G158,Teams!$A$4:$A$13,0))-SUMIFS($H$4:$H$503,$G$4:$G$503,G158,$F$4:$F$503,"SOLD",$A$4:$A$503,"&lt;&gt;"&amp;A158),"OVER BUDGET","OK"),"INVALID TEAM"))))</f>
        <v/>
      </c>
      <c r="K158" s="1" t="str">
        <f>IF(F158="SOLD",COUNTIF($F$4:F158,"SOLD"),"")</f>
        <v/>
      </c>
      <c r="L158" s="1" t="str">
        <f>IF(F158="UNSOLD",COUNTIF($F$4:F158,"UNSOLD"),"")</f>
        <v/>
      </c>
      <c r="M158" s="1" t="str">
        <f>IF(AND(F158="SOLD",G158='Team View'!$B$3),COUNTIFS($F$4:F158,"SOLD",$G$4:G158,'Team View'!$B$3),"")</f>
        <v/>
      </c>
    </row>
    <row r="159" spans="1:13">
      <c r="A159" s="1" t="str">
        <f t="shared" si="2"/>
        <v/>
      </c>
      <c r="B159" s="1"/>
      <c r="C159" s="1"/>
      <c r="D159" s="1"/>
      <c r="E159" s="7"/>
      <c r="F159" s="1"/>
      <c r="G159" s="1"/>
      <c r="H159" s="7"/>
      <c r="I159" s="1"/>
      <c r="J159" s="1" t="str">
        <f>IF(B159="","",IF(F159&lt;&gt;"SOLD","",IF(OR(G159="",H159=""),"SELECT TEAM &amp; PRICE",IFERROR(IF(H159&gt;INDEX(Teams!$B$4:$B$13,MATCH(G159,Teams!$A$4:$A$13,0))-SUMIFS($H$4:$H$503,$G$4:$G$503,G159,$F$4:$F$503,"SOLD",$A$4:$A$503,"&lt;&gt;"&amp;A159),"OVER BUDGET","OK"),"INVALID TEAM"))))</f>
        <v/>
      </c>
      <c r="K159" s="1" t="str">
        <f>IF(F159="SOLD",COUNTIF($F$4:F159,"SOLD"),"")</f>
        <v/>
      </c>
      <c r="L159" s="1" t="str">
        <f>IF(F159="UNSOLD",COUNTIF($F$4:F159,"UNSOLD"),"")</f>
        <v/>
      </c>
      <c r="M159" s="1" t="str">
        <f>IF(AND(F159="SOLD",G159='Team View'!$B$3),COUNTIFS($F$4:F159,"SOLD",$G$4:G159,'Team View'!$B$3),"")</f>
        <v/>
      </c>
    </row>
    <row r="160" spans="1:13">
      <c r="A160" s="1" t="str">
        <f t="shared" si="2"/>
        <v/>
      </c>
      <c r="B160" s="1"/>
      <c r="C160" s="1"/>
      <c r="D160" s="1"/>
      <c r="E160" s="7"/>
      <c r="F160" s="1"/>
      <c r="G160" s="1"/>
      <c r="H160" s="7"/>
      <c r="I160" s="1"/>
      <c r="J160" s="1" t="str">
        <f>IF(B160="","",IF(F160&lt;&gt;"SOLD","",IF(OR(G160="",H160=""),"SELECT TEAM &amp; PRICE",IFERROR(IF(H160&gt;INDEX(Teams!$B$4:$B$13,MATCH(G160,Teams!$A$4:$A$13,0))-SUMIFS($H$4:$H$503,$G$4:$G$503,G160,$F$4:$F$503,"SOLD",$A$4:$A$503,"&lt;&gt;"&amp;A160),"OVER BUDGET","OK"),"INVALID TEAM"))))</f>
        <v/>
      </c>
      <c r="K160" s="1" t="str">
        <f>IF(F160="SOLD",COUNTIF($F$4:F160,"SOLD"),"")</f>
        <v/>
      </c>
      <c r="L160" s="1" t="str">
        <f>IF(F160="UNSOLD",COUNTIF($F$4:F160,"UNSOLD"),"")</f>
        <v/>
      </c>
      <c r="M160" s="1" t="str">
        <f>IF(AND(F160="SOLD",G160='Team View'!$B$3),COUNTIFS($F$4:F160,"SOLD",$G$4:G160,'Team View'!$B$3),"")</f>
        <v/>
      </c>
    </row>
    <row r="161" spans="1:13">
      <c r="A161" s="1" t="str">
        <f t="shared" si="2"/>
        <v/>
      </c>
      <c r="B161" s="1"/>
      <c r="C161" s="1"/>
      <c r="D161" s="1"/>
      <c r="E161" s="7"/>
      <c r="F161" s="1"/>
      <c r="G161" s="1"/>
      <c r="H161" s="7"/>
      <c r="I161" s="1"/>
      <c r="J161" s="1" t="str">
        <f>IF(B161="","",IF(F161&lt;&gt;"SOLD","",IF(OR(G161="",H161=""),"SELECT TEAM &amp; PRICE",IFERROR(IF(H161&gt;INDEX(Teams!$B$4:$B$13,MATCH(G161,Teams!$A$4:$A$13,0))-SUMIFS($H$4:$H$503,$G$4:$G$503,G161,$F$4:$F$503,"SOLD",$A$4:$A$503,"&lt;&gt;"&amp;A161),"OVER BUDGET","OK"),"INVALID TEAM"))))</f>
        <v/>
      </c>
      <c r="K161" s="1" t="str">
        <f>IF(F161="SOLD",COUNTIF($F$4:F161,"SOLD"),"")</f>
        <v/>
      </c>
      <c r="L161" s="1" t="str">
        <f>IF(F161="UNSOLD",COUNTIF($F$4:F161,"UNSOLD"),"")</f>
        <v/>
      </c>
      <c r="M161" s="1" t="str">
        <f>IF(AND(F161="SOLD",G161='Team View'!$B$3),COUNTIFS($F$4:F161,"SOLD",$G$4:G161,'Team View'!$B$3),"")</f>
        <v/>
      </c>
    </row>
    <row r="162" spans="1:13">
      <c r="A162" s="1" t="str">
        <f t="shared" si="2"/>
        <v/>
      </c>
      <c r="B162" s="1"/>
      <c r="C162" s="1"/>
      <c r="D162" s="1"/>
      <c r="E162" s="7"/>
      <c r="F162" s="1"/>
      <c r="G162" s="1"/>
      <c r="H162" s="7"/>
      <c r="I162" s="1"/>
      <c r="J162" s="1" t="str">
        <f>IF(B162="","",IF(F162&lt;&gt;"SOLD","",IF(OR(G162="",H162=""),"SELECT TEAM &amp; PRICE",IFERROR(IF(H162&gt;INDEX(Teams!$B$4:$B$13,MATCH(G162,Teams!$A$4:$A$13,0))-SUMIFS($H$4:$H$503,$G$4:$G$503,G162,$F$4:$F$503,"SOLD",$A$4:$A$503,"&lt;&gt;"&amp;A162),"OVER BUDGET","OK"),"INVALID TEAM"))))</f>
        <v/>
      </c>
      <c r="K162" s="1" t="str">
        <f>IF(F162="SOLD",COUNTIF($F$4:F162,"SOLD"),"")</f>
        <v/>
      </c>
      <c r="L162" s="1" t="str">
        <f>IF(F162="UNSOLD",COUNTIF($F$4:F162,"UNSOLD"),"")</f>
        <v/>
      </c>
      <c r="M162" s="1" t="str">
        <f>IF(AND(F162="SOLD",G162='Team View'!$B$3),COUNTIFS($F$4:F162,"SOLD",$G$4:G162,'Team View'!$B$3),"")</f>
        <v/>
      </c>
    </row>
    <row r="163" spans="1:13">
      <c r="A163" s="1" t="str">
        <f t="shared" si="2"/>
        <v/>
      </c>
      <c r="B163" s="1"/>
      <c r="C163" s="1"/>
      <c r="D163" s="1"/>
      <c r="E163" s="7"/>
      <c r="F163" s="1"/>
      <c r="G163" s="1"/>
      <c r="H163" s="7"/>
      <c r="I163" s="1"/>
      <c r="J163" s="1" t="str">
        <f>IF(B163="","",IF(F163&lt;&gt;"SOLD","",IF(OR(G163="",H163=""),"SELECT TEAM &amp; PRICE",IFERROR(IF(H163&gt;INDEX(Teams!$B$4:$B$13,MATCH(G163,Teams!$A$4:$A$13,0))-SUMIFS($H$4:$H$503,$G$4:$G$503,G163,$F$4:$F$503,"SOLD",$A$4:$A$503,"&lt;&gt;"&amp;A163),"OVER BUDGET","OK"),"INVALID TEAM"))))</f>
        <v/>
      </c>
      <c r="K163" s="1" t="str">
        <f>IF(F163="SOLD",COUNTIF($F$4:F163,"SOLD"),"")</f>
        <v/>
      </c>
      <c r="L163" s="1" t="str">
        <f>IF(F163="UNSOLD",COUNTIF($F$4:F163,"UNSOLD"),"")</f>
        <v/>
      </c>
      <c r="M163" s="1" t="str">
        <f>IF(AND(F163="SOLD",G163='Team View'!$B$3),COUNTIFS($F$4:F163,"SOLD",$G$4:G163,'Team View'!$B$3),"")</f>
        <v/>
      </c>
    </row>
    <row r="164" spans="1:13">
      <c r="A164" s="1" t="str">
        <f t="shared" si="2"/>
        <v/>
      </c>
      <c r="B164" s="1"/>
      <c r="C164" s="1"/>
      <c r="D164" s="1"/>
      <c r="E164" s="7"/>
      <c r="F164" s="1"/>
      <c r="G164" s="1"/>
      <c r="H164" s="7"/>
      <c r="I164" s="1"/>
      <c r="J164" s="1" t="str">
        <f>IF(B164="","",IF(F164&lt;&gt;"SOLD","",IF(OR(G164="",H164=""),"SELECT TEAM &amp; PRICE",IFERROR(IF(H164&gt;INDEX(Teams!$B$4:$B$13,MATCH(G164,Teams!$A$4:$A$13,0))-SUMIFS($H$4:$H$503,$G$4:$G$503,G164,$F$4:$F$503,"SOLD",$A$4:$A$503,"&lt;&gt;"&amp;A164),"OVER BUDGET","OK"),"INVALID TEAM"))))</f>
        <v/>
      </c>
      <c r="K164" s="1" t="str">
        <f>IF(F164="SOLD",COUNTIF($F$4:F164,"SOLD"),"")</f>
        <v/>
      </c>
      <c r="L164" s="1" t="str">
        <f>IF(F164="UNSOLD",COUNTIF($F$4:F164,"UNSOLD"),"")</f>
        <v/>
      </c>
      <c r="M164" s="1" t="str">
        <f>IF(AND(F164="SOLD",G164='Team View'!$B$3),COUNTIFS($F$4:F164,"SOLD",$G$4:G164,'Team View'!$B$3),"")</f>
        <v/>
      </c>
    </row>
    <row r="165" spans="1:13">
      <c r="A165" s="1" t="str">
        <f t="shared" si="2"/>
        <v/>
      </c>
      <c r="B165" s="1"/>
      <c r="C165" s="1"/>
      <c r="D165" s="1"/>
      <c r="E165" s="7"/>
      <c r="F165" s="1"/>
      <c r="G165" s="1"/>
      <c r="H165" s="7"/>
      <c r="I165" s="1"/>
      <c r="J165" s="1" t="str">
        <f>IF(B165="","",IF(F165&lt;&gt;"SOLD","",IF(OR(G165="",H165=""),"SELECT TEAM &amp; PRICE",IFERROR(IF(H165&gt;INDEX(Teams!$B$4:$B$13,MATCH(G165,Teams!$A$4:$A$13,0))-SUMIFS($H$4:$H$503,$G$4:$G$503,G165,$F$4:$F$503,"SOLD",$A$4:$A$503,"&lt;&gt;"&amp;A165),"OVER BUDGET","OK"),"INVALID TEAM"))))</f>
        <v/>
      </c>
      <c r="K165" s="1" t="str">
        <f>IF(F165="SOLD",COUNTIF($F$4:F165,"SOLD"),"")</f>
        <v/>
      </c>
      <c r="L165" s="1" t="str">
        <f>IF(F165="UNSOLD",COUNTIF($F$4:F165,"UNSOLD"),"")</f>
        <v/>
      </c>
      <c r="M165" s="1" t="str">
        <f>IF(AND(F165="SOLD",G165='Team View'!$B$3),COUNTIFS($F$4:F165,"SOLD",$G$4:G165,'Team View'!$B$3),"")</f>
        <v/>
      </c>
    </row>
    <row r="166" spans="1:13">
      <c r="A166" s="1" t="str">
        <f t="shared" si="2"/>
        <v/>
      </c>
      <c r="B166" s="1"/>
      <c r="C166" s="1"/>
      <c r="D166" s="1"/>
      <c r="E166" s="7"/>
      <c r="F166" s="1"/>
      <c r="G166" s="1"/>
      <c r="H166" s="7"/>
      <c r="I166" s="1"/>
      <c r="J166" s="1" t="str">
        <f>IF(B166="","",IF(F166&lt;&gt;"SOLD","",IF(OR(G166="",H166=""),"SELECT TEAM &amp; PRICE",IFERROR(IF(H166&gt;INDEX(Teams!$B$4:$B$13,MATCH(G166,Teams!$A$4:$A$13,0))-SUMIFS($H$4:$H$503,$G$4:$G$503,G166,$F$4:$F$503,"SOLD",$A$4:$A$503,"&lt;&gt;"&amp;A166),"OVER BUDGET","OK"),"INVALID TEAM"))))</f>
        <v/>
      </c>
      <c r="K166" s="1" t="str">
        <f>IF(F166="SOLD",COUNTIF($F$4:F166,"SOLD"),"")</f>
        <v/>
      </c>
      <c r="L166" s="1" t="str">
        <f>IF(F166="UNSOLD",COUNTIF($F$4:F166,"UNSOLD"),"")</f>
        <v/>
      </c>
      <c r="M166" s="1" t="str">
        <f>IF(AND(F166="SOLD",G166='Team View'!$B$3),COUNTIFS($F$4:F166,"SOLD",$G$4:G166,'Team View'!$B$3),"")</f>
        <v/>
      </c>
    </row>
    <row r="167" spans="1:13">
      <c r="A167" s="1" t="str">
        <f t="shared" si="2"/>
        <v/>
      </c>
      <c r="B167" s="1"/>
      <c r="C167" s="1"/>
      <c r="D167" s="1"/>
      <c r="E167" s="7"/>
      <c r="F167" s="1"/>
      <c r="G167" s="1"/>
      <c r="H167" s="7"/>
      <c r="I167" s="1"/>
      <c r="J167" s="1" t="str">
        <f>IF(B167="","",IF(F167&lt;&gt;"SOLD","",IF(OR(G167="",H167=""),"SELECT TEAM &amp; PRICE",IFERROR(IF(H167&gt;INDEX(Teams!$B$4:$B$13,MATCH(G167,Teams!$A$4:$A$13,0))-SUMIFS($H$4:$H$503,$G$4:$G$503,G167,$F$4:$F$503,"SOLD",$A$4:$A$503,"&lt;&gt;"&amp;A167),"OVER BUDGET","OK"),"INVALID TEAM"))))</f>
        <v/>
      </c>
      <c r="K167" s="1" t="str">
        <f>IF(F167="SOLD",COUNTIF($F$4:F167,"SOLD"),"")</f>
        <v/>
      </c>
      <c r="L167" s="1" t="str">
        <f>IF(F167="UNSOLD",COUNTIF($F$4:F167,"UNSOLD"),"")</f>
        <v/>
      </c>
      <c r="M167" s="1" t="str">
        <f>IF(AND(F167="SOLD",G167='Team View'!$B$3),COUNTIFS($F$4:F167,"SOLD",$G$4:G167,'Team View'!$B$3),"")</f>
        <v/>
      </c>
    </row>
    <row r="168" spans="1:13">
      <c r="A168" s="1" t="str">
        <f t="shared" si="2"/>
        <v/>
      </c>
      <c r="B168" s="1"/>
      <c r="C168" s="1"/>
      <c r="D168" s="1"/>
      <c r="E168" s="7"/>
      <c r="F168" s="1"/>
      <c r="G168" s="1"/>
      <c r="H168" s="7"/>
      <c r="I168" s="1"/>
      <c r="J168" s="1" t="str">
        <f>IF(B168="","",IF(F168&lt;&gt;"SOLD","",IF(OR(G168="",H168=""),"SELECT TEAM &amp; PRICE",IFERROR(IF(H168&gt;INDEX(Teams!$B$4:$B$13,MATCH(G168,Teams!$A$4:$A$13,0))-SUMIFS($H$4:$H$503,$G$4:$G$503,G168,$F$4:$F$503,"SOLD",$A$4:$A$503,"&lt;&gt;"&amp;A168),"OVER BUDGET","OK"),"INVALID TEAM"))))</f>
        <v/>
      </c>
      <c r="K168" s="1" t="str">
        <f>IF(F168="SOLD",COUNTIF($F$4:F168,"SOLD"),"")</f>
        <v/>
      </c>
      <c r="L168" s="1" t="str">
        <f>IF(F168="UNSOLD",COUNTIF($F$4:F168,"UNSOLD"),"")</f>
        <v/>
      </c>
      <c r="M168" s="1" t="str">
        <f>IF(AND(F168="SOLD",G168='Team View'!$B$3),COUNTIFS($F$4:F168,"SOLD",$G$4:G168,'Team View'!$B$3),"")</f>
        <v/>
      </c>
    </row>
    <row r="169" spans="1:13">
      <c r="A169" s="1" t="str">
        <f t="shared" si="2"/>
        <v/>
      </c>
      <c r="B169" s="1"/>
      <c r="C169" s="1"/>
      <c r="D169" s="1"/>
      <c r="E169" s="7"/>
      <c r="F169" s="1"/>
      <c r="G169" s="1"/>
      <c r="H169" s="7"/>
      <c r="I169" s="1"/>
      <c r="J169" s="1" t="str">
        <f>IF(B169="","",IF(F169&lt;&gt;"SOLD","",IF(OR(G169="",H169=""),"SELECT TEAM &amp; PRICE",IFERROR(IF(H169&gt;INDEX(Teams!$B$4:$B$13,MATCH(G169,Teams!$A$4:$A$13,0))-SUMIFS($H$4:$H$503,$G$4:$G$503,G169,$F$4:$F$503,"SOLD",$A$4:$A$503,"&lt;&gt;"&amp;A169),"OVER BUDGET","OK"),"INVALID TEAM"))))</f>
        <v/>
      </c>
      <c r="K169" s="1" t="str">
        <f>IF(F169="SOLD",COUNTIF($F$4:F169,"SOLD"),"")</f>
        <v/>
      </c>
      <c r="L169" s="1" t="str">
        <f>IF(F169="UNSOLD",COUNTIF($F$4:F169,"UNSOLD"),"")</f>
        <v/>
      </c>
      <c r="M169" s="1" t="str">
        <f>IF(AND(F169="SOLD",G169='Team View'!$B$3),COUNTIFS($F$4:F169,"SOLD",$G$4:G169,'Team View'!$B$3),"")</f>
        <v/>
      </c>
    </row>
    <row r="170" spans="1:13">
      <c r="A170" s="1" t="str">
        <f t="shared" si="2"/>
        <v/>
      </c>
      <c r="B170" s="1"/>
      <c r="C170" s="1"/>
      <c r="D170" s="1"/>
      <c r="E170" s="7"/>
      <c r="F170" s="1"/>
      <c r="G170" s="1"/>
      <c r="H170" s="7"/>
      <c r="I170" s="1"/>
      <c r="J170" s="1" t="str">
        <f>IF(B170="","",IF(F170&lt;&gt;"SOLD","",IF(OR(G170="",H170=""),"SELECT TEAM &amp; PRICE",IFERROR(IF(H170&gt;INDEX(Teams!$B$4:$B$13,MATCH(G170,Teams!$A$4:$A$13,0))-SUMIFS($H$4:$H$503,$G$4:$G$503,G170,$F$4:$F$503,"SOLD",$A$4:$A$503,"&lt;&gt;"&amp;A170),"OVER BUDGET","OK"),"INVALID TEAM"))))</f>
        <v/>
      </c>
      <c r="K170" s="1" t="str">
        <f>IF(F170="SOLD",COUNTIF($F$4:F170,"SOLD"),"")</f>
        <v/>
      </c>
      <c r="L170" s="1" t="str">
        <f>IF(F170="UNSOLD",COUNTIF($F$4:F170,"UNSOLD"),"")</f>
        <v/>
      </c>
      <c r="M170" s="1" t="str">
        <f>IF(AND(F170="SOLD",G170='Team View'!$B$3),COUNTIFS($F$4:F170,"SOLD",$G$4:G170,'Team View'!$B$3),"")</f>
        <v/>
      </c>
    </row>
    <row r="171" spans="1:13">
      <c r="A171" s="1" t="str">
        <f t="shared" si="2"/>
        <v/>
      </c>
      <c r="B171" s="1"/>
      <c r="C171" s="1"/>
      <c r="D171" s="1"/>
      <c r="E171" s="7"/>
      <c r="F171" s="1"/>
      <c r="G171" s="1"/>
      <c r="H171" s="7"/>
      <c r="I171" s="1"/>
      <c r="J171" s="1" t="str">
        <f>IF(B171="","",IF(F171&lt;&gt;"SOLD","",IF(OR(G171="",H171=""),"SELECT TEAM &amp; PRICE",IFERROR(IF(H171&gt;INDEX(Teams!$B$4:$B$13,MATCH(G171,Teams!$A$4:$A$13,0))-SUMIFS($H$4:$H$503,$G$4:$G$503,G171,$F$4:$F$503,"SOLD",$A$4:$A$503,"&lt;&gt;"&amp;A171),"OVER BUDGET","OK"),"INVALID TEAM"))))</f>
        <v/>
      </c>
      <c r="K171" s="1" t="str">
        <f>IF(F171="SOLD",COUNTIF($F$4:F171,"SOLD"),"")</f>
        <v/>
      </c>
      <c r="L171" s="1" t="str">
        <f>IF(F171="UNSOLD",COUNTIF($F$4:F171,"UNSOLD"),"")</f>
        <v/>
      </c>
      <c r="M171" s="1" t="str">
        <f>IF(AND(F171="SOLD",G171='Team View'!$B$3),COUNTIFS($F$4:F171,"SOLD",$G$4:G171,'Team View'!$B$3),"")</f>
        <v/>
      </c>
    </row>
    <row r="172" spans="1:13">
      <c r="A172" s="1" t="str">
        <f t="shared" si="2"/>
        <v/>
      </c>
      <c r="B172" s="1"/>
      <c r="C172" s="1"/>
      <c r="D172" s="1"/>
      <c r="E172" s="7"/>
      <c r="F172" s="1"/>
      <c r="G172" s="1"/>
      <c r="H172" s="7"/>
      <c r="I172" s="1"/>
      <c r="J172" s="1" t="str">
        <f>IF(B172="","",IF(F172&lt;&gt;"SOLD","",IF(OR(G172="",H172=""),"SELECT TEAM &amp; PRICE",IFERROR(IF(H172&gt;INDEX(Teams!$B$4:$B$13,MATCH(G172,Teams!$A$4:$A$13,0))-SUMIFS($H$4:$H$503,$G$4:$G$503,G172,$F$4:$F$503,"SOLD",$A$4:$A$503,"&lt;&gt;"&amp;A172),"OVER BUDGET","OK"),"INVALID TEAM"))))</f>
        <v/>
      </c>
      <c r="K172" s="1" t="str">
        <f>IF(F172="SOLD",COUNTIF($F$4:F172,"SOLD"),"")</f>
        <v/>
      </c>
      <c r="L172" s="1" t="str">
        <f>IF(F172="UNSOLD",COUNTIF($F$4:F172,"UNSOLD"),"")</f>
        <v/>
      </c>
      <c r="M172" s="1" t="str">
        <f>IF(AND(F172="SOLD",G172='Team View'!$B$3),COUNTIFS($F$4:F172,"SOLD",$G$4:G172,'Team View'!$B$3),"")</f>
        <v/>
      </c>
    </row>
    <row r="173" spans="1:13">
      <c r="A173" s="1" t="str">
        <f t="shared" si="2"/>
        <v/>
      </c>
      <c r="B173" s="1"/>
      <c r="C173" s="1"/>
      <c r="D173" s="1"/>
      <c r="E173" s="7"/>
      <c r="F173" s="1"/>
      <c r="G173" s="1"/>
      <c r="H173" s="7"/>
      <c r="I173" s="1"/>
      <c r="J173" s="1" t="str">
        <f>IF(B173="","",IF(F173&lt;&gt;"SOLD","",IF(OR(G173="",H173=""),"SELECT TEAM &amp; PRICE",IFERROR(IF(H173&gt;INDEX(Teams!$B$4:$B$13,MATCH(G173,Teams!$A$4:$A$13,0))-SUMIFS($H$4:$H$503,$G$4:$G$503,G173,$F$4:$F$503,"SOLD",$A$4:$A$503,"&lt;&gt;"&amp;A173),"OVER BUDGET","OK"),"INVALID TEAM"))))</f>
        <v/>
      </c>
      <c r="K173" s="1" t="str">
        <f>IF(F173="SOLD",COUNTIF($F$4:F173,"SOLD"),"")</f>
        <v/>
      </c>
      <c r="L173" s="1" t="str">
        <f>IF(F173="UNSOLD",COUNTIF($F$4:F173,"UNSOLD"),"")</f>
        <v/>
      </c>
      <c r="M173" s="1" t="str">
        <f>IF(AND(F173="SOLD",G173='Team View'!$B$3),COUNTIFS($F$4:F173,"SOLD",$G$4:G173,'Team View'!$B$3),"")</f>
        <v/>
      </c>
    </row>
    <row r="174" spans="1:13">
      <c r="A174" s="1" t="str">
        <f t="shared" si="2"/>
        <v/>
      </c>
      <c r="B174" s="1"/>
      <c r="C174" s="1"/>
      <c r="D174" s="1"/>
      <c r="E174" s="7"/>
      <c r="F174" s="1"/>
      <c r="G174" s="1"/>
      <c r="H174" s="7"/>
      <c r="I174" s="1"/>
      <c r="J174" s="1" t="str">
        <f>IF(B174="","",IF(F174&lt;&gt;"SOLD","",IF(OR(G174="",H174=""),"SELECT TEAM &amp; PRICE",IFERROR(IF(H174&gt;INDEX(Teams!$B$4:$B$13,MATCH(G174,Teams!$A$4:$A$13,0))-SUMIFS($H$4:$H$503,$G$4:$G$503,G174,$F$4:$F$503,"SOLD",$A$4:$A$503,"&lt;&gt;"&amp;A174),"OVER BUDGET","OK"),"INVALID TEAM"))))</f>
        <v/>
      </c>
      <c r="K174" s="1" t="str">
        <f>IF(F174="SOLD",COUNTIF($F$4:F174,"SOLD"),"")</f>
        <v/>
      </c>
      <c r="L174" s="1" t="str">
        <f>IF(F174="UNSOLD",COUNTIF($F$4:F174,"UNSOLD"),"")</f>
        <v/>
      </c>
      <c r="M174" s="1" t="str">
        <f>IF(AND(F174="SOLD",G174='Team View'!$B$3),COUNTIFS($F$4:F174,"SOLD",$G$4:G174,'Team View'!$B$3),"")</f>
        <v/>
      </c>
    </row>
    <row r="175" spans="1:13">
      <c r="A175" s="1" t="str">
        <f t="shared" si="2"/>
        <v/>
      </c>
      <c r="B175" s="1"/>
      <c r="C175" s="1"/>
      <c r="D175" s="1"/>
      <c r="E175" s="7"/>
      <c r="F175" s="1"/>
      <c r="G175" s="1"/>
      <c r="H175" s="7"/>
      <c r="I175" s="1"/>
      <c r="J175" s="1" t="str">
        <f>IF(B175="","",IF(F175&lt;&gt;"SOLD","",IF(OR(G175="",H175=""),"SELECT TEAM &amp; PRICE",IFERROR(IF(H175&gt;INDEX(Teams!$B$4:$B$13,MATCH(G175,Teams!$A$4:$A$13,0))-SUMIFS($H$4:$H$503,$G$4:$G$503,G175,$F$4:$F$503,"SOLD",$A$4:$A$503,"&lt;&gt;"&amp;A175),"OVER BUDGET","OK"),"INVALID TEAM"))))</f>
        <v/>
      </c>
      <c r="K175" s="1" t="str">
        <f>IF(F175="SOLD",COUNTIF($F$4:F175,"SOLD"),"")</f>
        <v/>
      </c>
      <c r="L175" s="1" t="str">
        <f>IF(F175="UNSOLD",COUNTIF($F$4:F175,"UNSOLD"),"")</f>
        <v/>
      </c>
      <c r="M175" s="1" t="str">
        <f>IF(AND(F175="SOLD",G175='Team View'!$B$3),COUNTIFS($F$4:F175,"SOLD",$G$4:G175,'Team View'!$B$3),"")</f>
        <v/>
      </c>
    </row>
    <row r="176" spans="1:13">
      <c r="A176" s="1" t="str">
        <f t="shared" si="2"/>
        <v/>
      </c>
      <c r="B176" s="1"/>
      <c r="C176" s="1"/>
      <c r="D176" s="1"/>
      <c r="E176" s="7"/>
      <c r="F176" s="1"/>
      <c r="G176" s="1"/>
      <c r="H176" s="7"/>
      <c r="I176" s="1"/>
      <c r="J176" s="1" t="str">
        <f>IF(B176="","",IF(F176&lt;&gt;"SOLD","",IF(OR(G176="",H176=""),"SELECT TEAM &amp; PRICE",IFERROR(IF(H176&gt;INDEX(Teams!$B$4:$B$13,MATCH(G176,Teams!$A$4:$A$13,0))-SUMIFS($H$4:$H$503,$G$4:$G$503,G176,$F$4:$F$503,"SOLD",$A$4:$A$503,"&lt;&gt;"&amp;A176),"OVER BUDGET","OK"),"INVALID TEAM"))))</f>
        <v/>
      </c>
      <c r="K176" s="1" t="str">
        <f>IF(F176="SOLD",COUNTIF($F$4:F176,"SOLD"),"")</f>
        <v/>
      </c>
      <c r="L176" s="1" t="str">
        <f>IF(F176="UNSOLD",COUNTIF($F$4:F176,"UNSOLD"),"")</f>
        <v/>
      </c>
      <c r="M176" s="1" t="str">
        <f>IF(AND(F176="SOLD",G176='Team View'!$B$3),COUNTIFS($F$4:F176,"SOLD",$G$4:G176,'Team View'!$B$3),"")</f>
        <v/>
      </c>
    </row>
    <row r="177" spans="1:13">
      <c r="A177" s="1" t="str">
        <f t="shared" si="2"/>
        <v/>
      </c>
      <c r="B177" s="1"/>
      <c r="C177" s="1"/>
      <c r="D177" s="1"/>
      <c r="E177" s="7"/>
      <c r="F177" s="1"/>
      <c r="G177" s="1"/>
      <c r="H177" s="7"/>
      <c r="I177" s="1"/>
      <c r="J177" s="1" t="str">
        <f>IF(B177="","",IF(F177&lt;&gt;"SOLD","",IF(OR(G177="",H177=""),"SELECT TEAM &amp; PRICE",IFERROR(IF(H177&gt;INDEX(Teams!$B$4:$B$13,MATCH(G177,Teams!$A$4:$A$13,0))-SUMIFS($H$4:$H$503,$G$4:$G$503,G177,$F$4:$F$503,"SOLD",$A$4:$A$503,"&lt;&gt;"&amp;A177),"OVER BUDGET","OK"),"INVALID TEAM"))))</f>
        <v/>
      </c>
      <c r="K177" s="1" t="str">
        <f>IF(F177="SOLD",COUNTIF($F$4:F177,"SOLD"),"")</f>
        <v/>
      </c>
      <c r="L177" s="1" t="str">
        <f>IF(F177="UNSOLD",COUNTIF($F$4:F177,"UNSOLD"),"")</f>
        <v/>
      </c>
      <c r="M177" s="1" t="str">
        <f>IF(AND(F177="SOLD",G177='Team View'!$B$3),COUNTIFS($F$4:F177,"SOLD",$G$4:G177,'Team View'!$B$3),"")</f>
        <v/>
      </c>
    </row>
    <row r="178" spans="1:13">
      <c r="A178" s="1" t="str">
        <f t="shared" si="2"/>
        <v/>
      </c>
      <c r="B178" s="1"/>
      <c r="C178" s="1"/>
      <c r="D178" s="1"/>
      <c r="E178" s="7"/>
      <c r="F178" s="1"/>
      <c r="G178" s="1"/>
      <c r="H178" s="7"/>
      <c r="I178" s="1"/>
      <c r="J178" s="1" t="str">
        <f>IF(B178="","",IF(F178&lt;&gt;"SOLD","",IF(OR(G178="",H178=""),"SELECT TEAM &amp; PRICE",IFERROR(IF(H178&gt;INDEX(Teams!$B$4:$B$13,MATCH(G178,Teams!$A$4:$A$13,0))-SUMIFS($H$4:$H$503,$G$4:$G$503,G178,$F$4:$F$503,"SOLD",$A$4:$A$503,"&lt;&gt;"&amp;A178),"OVER BUDGET","OK"),"INVALID TEAM"))))</f>
        <v/>
      </c>
      <c r="K178" s="1" t="str">
        <f>IF(F178="SOLD",COUNTIF($F$4:F178,"SOLD"),"")</f>
        <v/>
      </c>
      <c r="L178" s="1" t="str">
        <f>IF(F178="UNSOLD",COUNTIF($F$4:F178,"UNSOLD"),"")</f>
        <v/>
      </c>
      <c r="M178" s="1" t="str">
        <f>IF(AND(F178="SOLD",G178='Team View'!$B$3),COUNTIFS($F$4:F178,"SOLD",$G$4:G178,'Team View'!$B$3),"")</f>
        <v/>
      </c>
    </row>
    <row r="179" spans="1:13">
      <c r="A179" s="1" t="str">
        <f t="shared" si="2"/>
        <v/>
      </c>
      <c r="B179" s="1"/>
      <c r="C179" s="1"/>
      <c r="D179" s="1"/>
      <c r="E179" s="7"/>
      <c r="F179" s="1"/>
      <c r="G179" s="1"/>
      <c r="H179" s="7"/>
      <c r="I179" s="1"/>
      <c r="J179" s="1" t="str">
        <f>IF(B179="","",IF(F179&lt;&gt;"SOLD","",IF(OR(G179="",H179=""),"SELECT TEAM &amp; PRICE",IFERROR(IF(H179&gt;INDEX(Teams!$B$4:$B$13,MATCH(G179,Teams!$A$4:$A$13,0))-SUMIFS($H$4:$H$503,$G$4:$G$503,G179,$F$4:$F$503,"SOLD",$A$4:$A$503,"&lt;&gt;"&amp;A179),"OVER BUDGET","OK"),"INVALID TEAM"))))</f>
        <v/>
      </c>
      <c r="K179" s="1" t="str">
        <f>IF(F179="SOLD",COUNTIF($F$4:F179,"SOLD"),"")</f>
        <v/>
      </c>
      <c r="L179" s="1" t="str">
        <f>IF(F179="UNSOLD",COUNTIF($F$4:F179,"UNSOLD"),"")</f>
        <v/>
      </c>
      <c r="M179" s="1" t="str">
        <f>IF(AND(F179="SOLD",G179='Team View'!$B$3),COUNTIFS($F$4:F179,"SOLD",$G$4:G179,'Team View'!$B$3),"")</f>
        <v/>
      </c>
    </row>
    <row r="180" spans="1:13">
      <c r="A180" s="1" t="str">
        <f t="shared" si="2"/>
        <v/>
      </c>
      <c r="B180" s="1"/>
      <c r="C180" s="1"/>
      <c r="D180" s="1"/>
      <c r="E180" s="7"/>
      <c r="F180" s="1"/>
      <c r="G180" s="1"/>
      <c r="H180" s="7"/>
      <c r="I180" s="1"/>
      <c r="J180" s="1" t="str">
        <f>IF(B180="","",IF(F180&lt;&gt;"SOLD","",IF(OR(G180="",H180=""),"SELECT TEAM &amp; PRICE",IFERROR(IF(H180&gt;INDEX(Teams!$B$4:$B$13,MATCH(G180,Teams!$A$4:$A$13,0))-SUMIFS($H$4:$H$503,$G$4:$G$503,G180,$F$4:$F$503,"SOLD",$A$4:$A$503,"&lt;&gt;"&amp;A180),"OVER BUDGET","OK"),"INVALID TEAM"))))</f>
        <v/>
      </c>
      <c r="K180" s="1" t="str">
        <f>IF(F180="SOLD",COUNTIF($F$4:F180,"SOLD"),"")</f>
        <v/>
      </c>
      <c r="L180" s="1" t="str">
        <f>IF(F180="UNSOLD",COUNTIF($F$4:F180,"UNSOLD"),"")</f>
        <v/>
      </c>
      <c r="M180" s="1" t="str">
        <f>IF(AND(F180="SOLD",G180='Team View'!$B$3),COUNTIFS($F$4:F180,"SOLD",$G$4:G180,'Team View'!$B$3),"")</f>
        <v/>
      </c>
    </row>
    <row r="181" spans="1:13">
      <c r="A181" s="1" t="str">
        <f t="shared" si="2"/>
        <v/>
      </c>
      <c r="B181" s="1"/>
      <c r="C181" s="1"/>
      <c r="D181" s="1"/>
      <c r="E181" s="7"/>
      <c r="F181" s="1"/>
      <c r="G181" s="1"/>
      <c r="H181" s="7"/>
      <c r="I181" s="1"/>
      <c r="J181" s="1" t="str">
        <f>IF(B181="","",IF(F181&lt;&gt;"SOLD","",IF(OR(G181="",H181=""),"SELECT TEAM &amp; PRICE",IFERROR(IF(H181&gt;INDEX(Teams!$B$4:$B$13,MATCH(G181,Teams!$A$4:$A$13,0))-SUMIFS($H$4:$H$503,$G$4:$G$503,G181,$F$4:$F$503,"SOLD",$A$4:$A$503,"&lt;&gt;"&amp;A181),"OVER BUDGET","OK"),"INVALID TEAM"))))</f>
        <v/>
      </c>
      <c r="K181" s="1" t="str">
        <f>IF(F181="SOLD",COUNTIF($F$4:F181,"SOLD"),"")</f>
        <v/>
      </c>
      <c r="L181" s="1" t="str">
        <f>IF(F181="UNSOLD",COUNTIF($F$4:F181,"UNSOLD"),"")</f>
        <v/>
      </c>
      <c r="M181" s="1" t="str">
        <f>IF(AND(F181="SOLD",G181='Team View'!$B$3),COUNTIFS($F$4:F181,"SOLD",$G$4:G181,'Team View'!$B$3),"")</f>
        <v/>
      </c>
    </row>
    <row r="182" spans="1:13">
      <c r="A182" s="1" t="str">
        <f t="shared" si="2"/>
        <v/>
      </c>
      <c r="B182" s="1"/>
      <c r="C182" s="1"/>
      <c r="D182" s="1"/>
      <c r="E182" s="7"/>
      <c r="F182" s="1"/>
      <c r="G182" s="1"/>
      <c r="H182" s="7"/>
      <c r="I182" s="1"/>
      <c r="J182" s="1" t="str">
        <f>IF(B182="","",IF(F182&lt;&gt;"SOLD","",IF(OR(G182="",H182=""),"SELECT TEAM &amp; PRICE",IFERROR(IF(H182&gt;INDEX(Teams!$B$4:$B$13,MATCH(G182,Teams!$A$4:$A$13,0))-SUMIFS($H$4:$H$503,$G$4:$G$503,G182,$F$4:$F$503,"SOLD",$A$4:$A$503,"&lt;&gt;"&amp;A182),"OVER BUDGET","OK"),"INVALID TEAM"))))</f>
        <v/>
      </c>
      <c r="K182" s="1" t="str">
        <f>IF(F182="SOLD",COUNTIF($F$4:F182,"SOLD"),"")</f>
        <v/>
      </c>
      <c r="L182" s="1" t="str">
        <f>IF(F182="UNSOLD",COUNTIF($F$4:F182,"UNSOLD"),"")</f>
        <v/>
      </c>
      <c r="M182" s="1" t="str">
        <f>IF(AND(F182="SOLD",G182='Team View'!$B$3),COUNTIFS($F$4:F182,"SOLD",$G$4:G182,'Team View'!$B$3),"")</f>
        <v/>
      </c>
    </row>
    <row r="183" spans="1:13">
      <c r="A183" s="1" t="str">
        <f t="shared" si="2"/>
        <v/>
      </c>
      <c r="B183" s="1"/>
      <c r="C183" s="1"/>
      <c r="D183" s="1"/>
      <c r="E183" s="7"/>
      <c r="F183" s="1"/>
      <c r="G183" s="1"/>
      <c r="H183" s="7"/>
      <c r="I183" s="1"/>
      <c r="J183" s="1" t="str">
        <f>IF(B183="","",IF(F183&lt;&gt;"SOLD","",IF(OR(G183="",H183=""),"SELECT TEAM &amp; PRICE",IFERROR(IF(H183&gt;INDEX(Teams!$B$4:$B$13,MATCH(G183,Teams!$A$4:$A$13,0))-SUMIFS($H$4:$H$503,$G$4:$G$503,G183,$F$4:$F$503,"SOLD",$A$4:$A$503,"&lt;&gt;"&amp;A183),"OVER BUDGET","OK"),"INVALID TEAM"))))</f>
        <v/>
      </c>
      <c r="K183" s="1" t="str">
        <f>IF(F183="SOLD",COUNTIF($F$4:F183,"SOLD"),"")</f>
        <v/>
      </c>
      <c r="L183" s="1" t="str">
        <f>IF(F183="UNSOLD",COUNTIF($F$4:F183,"UNSOLD"),"")</f>
        <v/>
      </c>
      <c r="M183" s="1" t="str">
        <f>IF(AND(F183="SOLD",G183='Team View'!$B$3),COUNTIFS($F$4:F183,"SOLD",$G$4:G183,'Team View'!$B$3),"")</f>
        <v/>
      </c>
    </row>
    <row r="184" spans="1:13">
      <c r="A184" s="1" t="str">
        <f t="shared" si="2"/>
        <v/>
      </c>
      <c r="B184" s="1"/>
      <c r="C184" s="1"/>
      <c r="D184" s="1"/>
      <c r="E184" s="7"/>
      <c r="F184" s="1"/>
      <c r="G184" s="1"/>
      <c r="H184" s="7"/>
      <c r="I184" s="1"/>
      <c r="J184" s="1" t="str">
        <f>IF(B184="","",IF(F184&lt;&gt;"SOLD","",IF(OR(G184="",H184=""),"SELECT TEAM &amp; PRICE",IFERROR(IF(H184&gt;INDEX(Teams!$B$4:$B$13,MATCH(G184,Teams!$A$4:$A$13,0))-SUMIFS($H$4:$H$503,$G$4:$G$503,G184,$F$4:$F$503,"SOLD",$A$4:$A$503,"&lt;&gt;"&amp;A184),"OVER BUDGET","OK"),"INVALID TEAM"))))</f>
        <v/>
      </c>
      <c r="K184" s="1" t="str">
        <f>IF(F184="SOLD",COUNTIF($F$4:F184,"SOLD"),"")</f>
        <v/>
      </c>
      <c r="L184" s="1" t="str">
        <f>IF(F184="UNSOLD",COUNTIF($F$4:F184,"UNSOLD"),"")</f>
        <v/>
      </c>
      <c r="M184" s="1" t="str">
        <f>IF(AND(F184="SOLD",G184='Team View'!$B$3),COUNTIFS($F$4:F184,"SOLD",$G$4:G184,'Team View'!$B$3),"")</f>
        <v/>
      </c>
    </row>
    <row r="185" spans="1:13">
      <c r="A185" s="1" t="str">
        <f t="shared" si="2"/>
        <v/>
      </c>
      <c r="B185" s="1"/>
      <c r="C185" s="1"/>
      <c r="D185" s="1"/>
      <c r="E185" s="7"/>
      <c r="F185" s="1"/>
      <c r="G185" s="1"/>
      <c r="H185" s="7"/>
      <c r="I185" s="1"/>
      <c r="J185" s="1" t="str">
        <f>IF(B185="","",IF(F185&lt;&gt;"SOLD","",IF(OR(G185="",H185=""),"SELECT TEAM &amp; PRICE",IFERROR(IF(H185&gt;INDEX(Teams!$B$4:$B$13,MATCH(G185,Teams!$A$4:$A$13,0))-SUMIFS($H$4:$H$503,$G$4:$G$503,G185,$F$4:$F$503,"SOLD",$A$4:$A$503,"&lt;&gt;"&amp;A185),"OVER BUDGET","OK"),"INVALID TEAM"))))</f>
        <v/>
      </c>
      <c r="K185" s="1" t="str">
        <f>IF(F185="SOLD",COUNTIF($F$4:F185,"SOLD"),"")</f>
        <v/>
      </c>
      <c r="L185" s="1" t="str">
        <f>IF(F185="UNSOLD",COUNTIF($F$4:F185,"UNSOLD"),"")</f>
        <v/>
      </c>
      <c r="M185" s="1" t="str">
        <f>IF(AND(F185="SOLD",G185='Team View'!$B$3),COUNTIFS($F$4:F185,"SOLD",$G$4:G185,'Team View'!$B$3),"")</f>
        <v/>
      </c>
    </row>
    <row r="186" spans="1:13">
      <c r="A186" s="1" t="str">
        <f t="shared" si="2"/>
        <v/>
      </c>
      <c r="B186" s="1"/>
      <c r="C186" s="1"/>
      <c r="D186" s="1"/>
      <c r="E186" s="7"/>
      <c r="F186" s="1"/>
      <c r="G186" s="1"/>
      <c r="H186" s="7"/>
      <c r="I186" s="1"/>
      <c r="J186" s="1" t="str">
        <f>IF(B186="","",IF(F186&lt;&gt;"SOLD","",IF(OR(G186="",H186=""),"SELECT TEAM &amp; PRICE",IFERROR(IF(H186&gt;INDEX(Teams!$B$4:$B$13,MATCH(G186,Teams!$A$4:$A$13,0))-SUMIFS($H$4:$H$503,$G$4:$G$503,G186,$F$4:$F$503,"SOLD",$A$4:$A$503,"&lt;&gt;"&amp;A186),"OVER BUDGET","OK"),"INVALID TEAM"))))</f>
        <v/>
      </c>
      <c r="K186" s="1" t="str">
        <f>IF(F186="SOLD",COUNTIF($F$4:F186,"SOLD"),"")</f>
        <v/>
      </c>
      <c r="L186" s="1" t="str">
        <f>IF(F186="UNSOLD",COUNTIF($F$4:F186,"UNSOLD"),"")</f>
        <v/>
      </c>
      <c r="M186" s="1" t="str">
        <f>IF(AND(F186="SOLD",G186='Team View'!$B$3),COUNTIFS($F$4:F186,"SOLD",$G$4:G186,'Team View'!$B$3),"")</f>
        <v/>
      </c>
    </row>
    <row r="187" spans="1:13">
      <c r="A187" s="1" t="str">
        <f t="shared" si="2"/>
        <v/>
      </c>
      <c r="B187" s="1"/>
      <c r="C187" s="1"/>
      <c r="D187" s="1"/>
      <c r="E187" s="7"/>
      <c r="F187" s="1"/>
      <c r="G187" s="1"/>
      <c r="H187" s="7"/>
      <c r="I187" s="1"/>
      <c r="J187" s="1" t="str">
        <f>IF(B187="","",IF(F187&lt;&gt;"SOLD","",IF(OR(G187="",H187=""),"SELECT TEAM &amp; PRICE",IFERROR(IF(H187&gt;INDEX(Teams!$B$4:$B$13,MATCH(G187,Teams!$A$4:$A$13,0))-SUMIFS($H$4:$H$503,$G$4:$G$503,G187,$F$4:$F$503,"SOLD",$A$4:$A$503,"&lt;&gt;"&amp;A187),"OVER BUDGET","OK"),"INVALID TEAM"))))</f>
        <v/>
      </c>
      <c r="K187" s="1" t="str">
        <f>IF(F187="SOLD",COUNTIF($F$4:F187,"SOLD"),"")</f>
        <v/>
      </c>
      <c r="L187" s="1" t="str">
        <f>IF(F187="UNSOLD",COUNTIF($F$4:F187,"UNSOLD"),"")</f>
        <v/>
      </c>
      <c r="M187" s="1" t="str">
        <f>IF(AND(F187="SOLD",G187='Team View'!$B$3),COUNTIFS($F$4:F187,"SOLD",$G$4:G187,'Team View'!$B$3),"")</f>
        <v/>
      </c>
    </row>
    <row r="188" spans="1:13">
      <c r="A188" s="1" t="str">
        <f t="shared" si="2"/>
        <v/>
      </c>
      <c r="B188" s="1"/>
      <c r="C188" s="1"/>
      <c r="D188" s="1"/>
      <c r="E188" s="7"/>
      <c r="F188" s="1"/>
      <c r="G188" s="1"/>
      <c r="H188" s="7"/>
      <c r="I188" s="1"/>
      <c r="J188" s="1" t="str">
        <f>IF(B188="","",IF(F188&lt;&gt;"SOLD","",IF(OR(G188="",H188=""),"SELECT TEAM &amp; PRICE",IFERROR(IF(H188&gt;INDEX(Teams!$B$4:$B$13,MATCH(G188,Teams!$A$4:$A$13,0))-SUMIFS($H$4:$H$503,$G$4:$G$503,G188,$F$4:$F$503,"SOLD",$A$4:$A$503,"&lt;&gt;"&amp;A188),"OVER BUDGET","OK"),"INVALID TEAM"))))</f>
        <v/>
      </c>
      <c r="K188" s="1" t="str">
        <f>IF(F188="SOLD",COUNTIF($F$4:F188,"SOLD"),"")</f>
        <v/>
      </c>
      <c r="L188" s="1" t="str">
        <f>IF(F188="UNSOLD",COUNTIF($F$4:F188,"UNSOLD"),"")</f>
        <v/>
      </c>
      <c r="M188" s="1" t="str">
        <f>IF(AND(F188="SOLD",G188='Team View'!$B$3),COUNTIFS($F$4:F188,"SOLD",$G$4:G188,'Team View'!$B$3),"")</f>
        <v/>
      </c>
    </row>
    <row r="189" spans="1:13">
      <c r="A189" s="1" t="str">
        <f t="shared" si="2"/>
        <v/>
      </c>
      <c r="B189" s="1"/>
      <c r="C189" s="1"/>
      <c r="D189" s="1"/>
      <c r="E189" s="7"/>
      <c r="F189" s="1"/>
      <c r="G189" s="1"/>
      <c r="H189" s="7"/>
      <c r="I189" s="1"/>
      <c r="J189" s="1" t="str">
        <f>IF(B189="","",IF(F189&lt;&gt;"SOLD","",IF(OR(G189="",H189=""),"SELECT TEAM &amp; PRICE",IFERROR(IF(H189&gt;INDEX(Teams!$B$4:$B$13,MATCH(G189,Teams!$A$4:$A$13,0))-SUMIFS($H$4:$H$503,$G$4:$G$503,G189,$F$4:$F$503,"SOLD",$A$4:$A$503,"&lt;&gt;"&amp;A189),"OVER BUDGET","OK"),"INVALID TEAM"))))</f>
        <v/>
      </c>
      <c r="K189" s="1" t="str">
        <f>IF(F189="SOLD",COUNTIF($F$4:F189,"SOLD"),"")</f>
        <v/>
      </c>
      <c r="L189" s="1" t="str">
        <f>IF(F189="UNSOLD",COUNTIF($F$4:F189,"UNSOLD"),"")</f>
        <v/>
      </c>
      <c r="M189" s="1" t="str">
        <f>IF(AND(F189="SOLD",G189='Team View'!$B$3),COUNTIFS($F$4:F189,"SOLD",$G$4:G189,'Team View'!$B$3),"")</f>
        <v/>
      </c>
    </row>
    <row r="190" spans="1:13">
      <c r="A190" s="1" t="str">
        <f t="shared" si="2"/>
        <v/>
      </c>
      <c r="B190" s="1"/>
      <c r="C190" s="1"/>
      <c r="D190" s="1"/>
      <c r="E190" s="7"/>
      <c r="F190" s="1"/>
      <c r="G190" s="1"/>
      <c r="H190" s="7"/>
      <c r="I190" s="1"/>
      <c r="J190" s="1" t="str">
        <f>IF(B190="","",IF(F190&lt;&gt;"SOLD","",IF(OR(G190="",H190=""),"SELECT TEAM &amp; PRICE",IFERROR(IF(H190&gt;INDEX(Teams!$B$4:$B$13,MATCH(G190,Teams!$A$4:$A$13,0))-SUMIFS($H$4:$H$503,$G$4:$G$503,G190,$F$4:$F$503,"SOLD",$A$4:$A$503,"&lt;&gt;"&amp;A190),"OVER BUDGET","OK"),"INVALID TEAM"))))</f>
        <v/>
      </c>
      <c r="K190" s="1" t="str">
        <f>IF(F190="SOLD",COUNTIF($F$4:F190,"SOLD"),"")</f>
        <v/>
      </c>
      <c r="L190" s="1" t="str">
        <f>IF(F190="UNSOLD",COUNTIF($F$4:F190,"UNSOLD"),"")</f>
        <v/>
      </c>
      <c r="M190" s="1" t="str">
        <f>IF(AND(F190="SOLD",G190='Team View'!$B$3),COUNTIFS($F$4:F190,"SOLD",$G$4:G190,'Team View'!$B$3),"")</f>
        <v/>
      </c>
    </row>
    <row r="191" spans="1:13">
      <c r="A191" s="1" t="str">
        <f t="shared" si="2"/>
        <v/>
      </c>
      <c r="B191" s="1"/>
      <c r="C191" s="1"/>
      <c r="D191" s="1"/>
      <c r="E191" s="7"/>
      <c r="F191" s="1"/>
      <c r="G191" s="1"/>
      <c r="H191" s="7"/>
      <c r="I191" s="1"/>
      <c r="J191" s="1" t="str">
        <f>IF(B191="","",IF(F191&lt;&gt;"SOLD","",IF(OR(G191="",H191=""),"SELECT TEAM &amp; PRICE",IFERROR(IF(H191&gt;INDEX(Teams!$B$4:$B$13,MATCH(G191,Teams!$A$4:$A$13,0))-SUMIFS($H$4:$H$503,$G$4:$G$503,G191,$F$4:$F$503,"SOLD",$A$4:$A$503,"&lt;&gt;"&amp;A191),"OVER BUDGET","OK"),"INVALID TEAM"))))</f>
        <v/>
      </c>
      <c r="K191" s="1" t="str">
        <f>IF(F191="SOLD",COUNTIF($F$4:F191,"SOLD"),"")</f>
        <v/>
      </c>
      <c r="L191" s="1" t="str">
        <f>IF(F191="UNSOLD",COUNTIF($F$4:F191,"UNSOLD"),"")</f>
        <v/>
      </c>
      <c r="M191" s="1" t="str">
        <f>IF(AND(F191="SOLD",G191='Team View'!$B$3),COUNTIFS($F$4:F191,"SOLD",$G$4:G191,'Team View'!$B$3),"")</f>
        <v/>
      </c>
    </row>
    <row r="192" spans="1:13">
      <c r="A192" s="1" t="str">
        <f t="shared" si="2"/>
        <v/>
      </c>
      <c r="B192" s="1"/>
      <c r="C192" s="1"/>
      <c r="D192" s="1"/>
      <c r="E192" s="7"/>
      <c r="F192" s="1"/>
      <c r="G192" s="1"/>
      <c r="H192" s="7"/>
      <c r="I192" s="1"/>
      <c r="J192" s="1" t="str">
        <f>IF(B192="","",IF(F192&lt;&gt;"SOLD","",IF(OR(G192="",H192=""),"SELECT TEAM &amp; PRICE",IFERROR(IF(H192&gt;INDEX(Teams!$B$4:$B$13,MATCH(G192,Teams!$A$4:$A$13,0))-SUMIFS($H$4:$H$503,$G$4:$G$503,G192,$F$4:$F$503,"SOLD",$A$4:$A$503,"&lt;&gt;"&amp;A192),"OVER BUDGET","OK"),"INVALID TEAM"))))</f>
        <v/>
      </c>
      <c r="K192" s="1" t="str">
        <f>IF(F192="SOLD",COUNTIF($F$4:F192,"SOLD"),"")</f>
        <v/>
      </c>
      <c r="L192" s="1" t="str">
        <f>IF(F192="UNSOLD",COUNTIF($F$4:F192,"UNSOLD"),"")</f>
        <v/>
      </c>
      <c r="M192" s="1" t="str">
        <f>IF(AND(F192="SOLD",G192='Team View'!$B$3),COUNTIFS($F$4:F192,"SOLD",$G$4:G192,'Team View'!$B$3),"")</f>
        <v/>
      </c>
    </row>
    <row r="193" spans="1:13">
      <c r="A193" s="1" t="str">
        <f t="shared" si="2"/>
        <v/>
      </c>
      <c r="B193" s="1"/>
      <c r="C193" s="1"/>
      <c r="D193" s="1"/>
      <c r="E193" s="7"/>
      <c r="F193" s="1"/>
      <c r="G193" s="1"/>
      <c r="H193" s="7"/>
      <c r="I193" s="1"/>
      <c r="J193" s="1" t="str">
        <f>IF(B193="","",IF(F193&lt;&gt;"SOLD","",IF(OR(G193="",H193=""),"SELECT TEAM &amp; PRICE",IFERROR(IF(H193&gt;INDEX(Teams!$B$4:$B$13,MATCH(G193,Teams!$A$4:$A$13,0))-SUMIFS($H$4:$H$503,$G$4:$G$503,G193,$F$4:$F$503,"SOLD",$A$4:$A$503,"&lt;&gt;"&amp;A193),"OVER BUDGET","OK"),"INVALID TEAM"))))</f>
        <v/>
      </c>
      <c r="K193" s="1" t="str">
        <f>IF(F193="SOLD",COUNTIF($F$4:F193,"SOLD"),"")</f>
        <v/>
      </c>
      <c r="L193" s="1" t="str">
        <f>IF(F193="UNSOLD",COUNTIF($F$4:F193,"UNSOLD"),"")</f>
        <v/>
      </c>
      <c r="M193" s="1" t="str">
        <f>IF(AND(F193="SOLD",G193='Team View'!$B$3),COUNTIFS($F$4:F193,"SOLD",$G$4:G193,'Team View'!$B$3),"")</f>
        <v/>
      </c>
    </row>
    <row r="194" spans="1:13">
      <c r="A194" s="1" t="str">
        <f t="shared" si="2"/>
        <v/>
      </c>
      <c r="B194" s="1"/>
      <c r="C194" s="1"/>
      <c r="D194" s="1"/>
      <c r="E194" s="7"/>
      <c r="F194" s="1"/>
      <c r="G194" s="1"/>
      <c r="H194" s="7"/>
      <c r="I194" s="1"/>
      <c r="J194" s="1" t="str">
        <f>IF(B194="","",IF(F194&lt;&gt;"SOLD","",IF(OR(G194="",H194=""),"SELECT TEAM &amp; PRICE",IFERROR(IF(H194&gt;INDEX(Teams!$B$4:$B$13,MATCH(G194,Teams!$A$4:$A$13,0))-SUMIFS($H$4:$H$503,$G$4:$G$503,G194,$F$4:$F$503,"SOLD",$A$4:$A$503,"&lt;&gt;"&amp;A194),"OVER BUDGET","OK"),"INVALID TEAM"))))</f>
        <v/>
      </c>
      <c r="K194" s="1" t="str">
        <f>IF(F194="SOLD",COUNTIF($F$4:F194,"SOLD"),"")</f>
        <v/>
      </c>
      <c r="L194" s="1" t="str">
        <f>IF(F194="UNSOLD",COUNTIF($F$4:F194,"UNSOLD"),"")</f>
        <v/>
      </c>
      <c r="M194" s="1" t="str">
        <f>IF(AND(F194="SOLD",G194='Team View'!$B$3),COUNTIFS($F$4:F194,"SOLD",$G$4:G194,'Team View'!$B$3),"")</f>
        <v/>
      </c>
    </row>
    <row r="195" spans="1:13">
      <c r="A195" s="1" t="str">
        <f t="shared" si="2"/>
        <v/>
      </c>
      <c r="B195" s="1"/>
      <c r="C195" s="1"/>
      <c r="D195" s="1"/>
      <c r="E195" s="7"/>
      <c r="F195" s="1"/>
      <c r="G195" s="1"/>
      <c r="H195" s="7"/>
      <c r="I195" s="1"/>
      <c r="J195" s="1" t="str">
        <f>IF(B195="","",IF(F195&lt;&gt;"SOLD","",IF(OR(G195="",H195=""),"SELECT TEAM &amp; PRICE",IFERROR(IF(H195&gt;INDEX(Teams!$B$4:$B$13,MATCH(G195,Teams!$A$4:$A$13,0))-SUMIFS($H$4:$H$503,$G$4:$G$503,G195,$F$4:$F$503,"SOLD",$A$4:$A$503,"&lt;&gt;"&amp;A195),"OVER BUDGET","OK"),"INVALID TEAM"))))</f>
        <v/>
      </c>
      <c r="K195" s="1" t="str">
        <f>IF(F195="SOLD",COUNTIF($F$4:F195,"SOLD"),"")</f>
        <v/>
      </c>
      <c r="L195" s="1" t="str">
        <f>IF(F195="UNSOLD",COUNTIF($F$4:F195,"UNSOLD"),"")</f>
        <v/>
      </c>
      <c r="M195" s="1" t="str">
        <f>IF(AND(F195="SOLD",G195='Team View'!$B$3),COUNTIFS($F$4:F195,"SOLD",$G$4:G195,'Team View'!$B$3),"")</f>
        <v/>
      </c>
    </row>
    <row r="196" spans="1:13">
      <c r="A196" s="1" t="str">
        <f t="shared" ref="A196:A259" si="3">IF(B196="","",ROW()-3)</f>
        <v/>
      </c>
      <c r="B196" s="1"/>
      <c r="C196" s="1"/>
      <c r="D196" s="1"/>
      <c r="E196" s="7"/>
      <c r="F196" s="1"/>
      <c r="G196" s="1"/>
      <c r="H196" s="7"/>
      <c r="I196" s="1"/>
      <c r="J196" s="1" t="str">
        <f>IF(B196="","",IF(F196&lt;&gt;"SOLD","",IF(OR(G196="",H196=""),"SELECT TEAM &amp; PRICE",IFERROR(IF(H196&gt;INDEX(Teams!$B$4:$B$13,MATCH(G196,Teams!$A$4:$A$13,0))-SUMIFS($H$4:$H$503,$G$4:$G$503,G196,$F$4:$F$503,"SOLD",$A$4:$A$503,"&lt;&gt;"&amp;A196),"OVER BUDGET","OK"),"INVALID TEAM"))))</f>
        <v/>
      </c>
      <c r="K196" s="1" t="str">
        <f>IF(F196="SOLD",COUNTIF($F$4:F196,"SOLD"),"")</f>
        <v/>
      </c>
      <c r="L196" s="1" t="str">
        <f>IF(F196="UNSOLD",COUNTIF($F$4:F196,"UNSOLD"),"")</f>
        <v/>
      </c>
      <c r="M196" s="1" t="str">
        <f>IF(AND(F196="SOLD",G196='Team View'!$B$3),COUNTIFS($F$4:F196,"SOLD",$G$4:G196,'Team View'!$B$3),"")</f>
        <v/>
      </c>
    </row>
    <row r="197" spans="1:13">
      <c r="A197" s="1" t="str">
        <f t="shared" si="3"/>
        <v/>
      </c>
      <c r="B197" s="1"/>
      <c r="C197" s="1"/>
      <c r="D197" s="1"/>
      <c r="E197" s="7"/>
      <c r="F197" s="1"/>
      <c r="G197" s="1"/>
      <c r="H197" s="7"/>
      <c r="I197" s="1"/>
      <c r="J197" s="1" t="str">
        <f>IF(B197="","",IF(F197&lt;&gt;"SOLD","",IF(OR(G197="",H197=""),"SELECT TEAM &amp; PRICE",IFERROR(IF(H197&gt;INDEX(Teams!$B$4:$B$13,MATCH(G197,Teams!$A$4:$A$13,0))-SUMIFS($H$4:$H$503,$G$4:$G$503,G197,$F$4:$F$503,"SOLD",$A$4:$A$503,"&lt;&gt;"&amp;A197),"OVER BUDGET","OK"),"INVALID TEAM"))))</f>
        <v/>
      </c>
      <c r="K197" s="1" t="str">
        <f>IF(F197="SOLD",COUNTIF($F$4:F197,"SOLD"),"")</f>
        <v/>
      </c>
      <c r="L197" s="1" t="str">
        <f>IF(F197="UNSOLD",COUNTIF($F$4:F197,"UNSOLD"),"")</f>
        <v/>
      </c>
      <c r="M197" s="1" t="str">
        <f>IF(AND(F197="SOLD",G197='Team View'!$B$3),COUNTIFS($F$4:F197,"SOLD",$G$4:G197,'Team View'!$B$3),"")</f>
        <v/>
      </c>
    </row>
    <row r="198" spans="1:13">
      <c r="A198" s="1" t="str">
        <f t="shared" si="3"/>
        <v/>
      </c>
      <c r="B198" s="1"/>
      <c r="C198" s="1"/>
      <c r="D198" s="1"/>
      <c r="E198" s="7"/>
      <c r="F198" s="1"/>
      <c r="G198" s="1"/>
      <c r="H198" s="7"/>
      <c r="I198" s="1"/>
      <c r="J198" s="1" t="str">
        <f>IF(B198="","",IF(F198&lt;&gt;"SOLD","",IF(OR(G198="",H198=""),"SELECT TEAM &amp; PRICE",IFERROR(IF(H198&gt;INDEX(Teams!$B$4:$B$13,MATCH(G198,Teams!$A$4:$A$13,0))-SUMIFS($H$4:$H$503,$G$4:$G$503,G198,$F$4:$F$503,"SOLD",$A$4:$A$503,"&lt;&gt;"&amp;A198),"OVER BUDGET","OK"),"INVALID TEAM"))))</f>
        <v/>
      </c>
      <c r="K198" s="1" t="str">
        <f>IF(F198="SOLD",COUNTIF($F$4:F198,"SOLD"),"")</f>
        <v/>
      </c>
      <c r="L198" s="1" t="str">
        <f>IF(F198="UNSOLD",COUNTIF($F$4:F198,"UNSOLD"),"")</f>
        <v/>
      </c>
      <c r="M198" s="1" t="str">
        <f>IF(AND(F198="SOLD",G198='Team View'!$B$3),COUNTIFS($F$4:F198,"SOLD",$G$4:G198,'Team View'!$B$3),"")</f>
        <v/>
      </c>
    </row>
    <row r="199" spans="1:13">
      <c r="A199" s="1" t="str">
        <f t="shared" si="3"/>
        <v/>
      </c>
      <c r="B199" s="1"/>
      <c r="C199" s="1"/>
      <c r="D199" s="1"/>
      <c r="E199" s="7"/>
      <c r="F199" s="1"/>
      <c r="G199" s="1"/>
      <c r="H199" s="7"/>
      <c r="I199" s="1"/>
      <c r="J199" s="1" t="str">
        <f>IF(B199="","",IF(F199&lt;&gt;"SOLD","",IF(OR(G199="",H199=""),"SELECT TEAM &amp; PRICE",IFERROR(IF(H199&gt;INDEX(Teams!$B$4:$B$13,MATCH(G199,Teams!$A$4:$A$13,0))-SUMIFS($H$4:$H$503,$G$4:$G$503,G199,$F$4:$F$503,"SOLD",$A$4:$A$503,"&lt;&gt;"&amp;A199),"OVER BUDGET","OK"),"INVALID TEAM"))))</f>
        <v/>
      </c>
      <c r="K199" s="1" t="str">
        <f>IF(F199="SOLD",COUNTIF($F$4:F199,"SOLD"),"")</f>
        <v/>
      </c>
      <c r="L199" s="1" t="str">
        <f>IF(F199="UNSOLD",COUNTIF($F$4:F199,"UNSOLD"),"")</f>
        <v/>
      </c>
      <c r="M199" s="1" t="str">
        <f>IF(AND(F199="SOLD",G199='Team View'!$B$3),COUNTIFS($F$4:F199,"SOLD",$G$4:G199,'Team View'!$B$3),"")</f>
        <v/>
      </c>
    </row>
    <row r="200" spans="1:13">
      <c r="A200" s="1" t="str">
        <f t="shared" si="3"/>
        <v/>
      </c>
      <c r="B200" s="1"/>
      <c r="C200" s="1"/>
      <c r="D200" s="1"/>
      <c r="E200" s="7"/>
      <c r="F200" s="1"/>
      <c r="G200" s="1"/>
      <c r="H200" s="7"/>
      <c r="I200" s="1"/>
      <c r="J200" s="1" t="str">
        <f>IF(B200="","",IF(F200&lt;&gt;"SOLD","",IF(OR(G200="",H200=""),"SELECT TEAM &amp; PRICE",IFERROR(IF(H200&gt;INDEX(Teams!$B$4:$B$13,MATCH(G200,Teams!$A$4:$A$13,0))-SUMIFS($H$4:$H$503,$G$4:$G$503,G200,$F$4:$F$503,"SOLD",$A$4:$A$503,"&lt;&gt;"&amp;A200),"OVER BUDGET","OK"),"INVALID TEAM"))))</f>
        <v/>
      </c>
      <c r="K200" s="1" t="str">
        <f>IF(F200="SOLD",COUNTIF($F$4:F200,"SOLD"),"")</f>
        <v/>
      </c>
      <c r="L200" s="1" t="str">
        <f>IF(F200="UNSOLD",COUNTIF($F$4:F200,"UNSOLD"),"")</f>
        <v/>
      </c>
      <c r="M200" s="1" t="str">
        <f>IF(AND(F200="SOLD",G200='Team View'!$B$3),COUNTIFS($F$4:F200,"SOLD",$G$4:G200,'Team View'!$B$3),"")</f>
        <v/>
      </c>
    </row>
    <row r="201" spans="1:13">
      <c r="A201" s="1" t="str">
        <f t="shared" si="3"/>
        <v/>
      </c>
      <c r="B201" s="1"/>
      <c r="C201" s="1"/>
      <c r="D201" s="1"/>
      <c r="E201" s="7"/>
      <c r="F201" s="1"/>
      <c r="G201" s="1"/>
      <c r="H201" s="7"/>
      <c r="I201" s="1"/>
      <c r="J201" s="1" t="str">
        <f>IF(B201="","",IF(F201&lt;&gt;"SOLD","",IF(OR(G201="",H201=""),"SELECT TEAM &amp; PRICE",IFERROR(IF(H201&gt;INDEX(Teams!$B$4:$B$13,MATCH(G201,Teams!$A$4:$A$13,0))-SUMIFS($H$4:$H$503,$G$4:$G$503,G201,$F$4:$F$503,"SOLD",$A$4:$A$503,"&lt;&gt;"&amp;A201),"OVER BUDGET","OK"),"INVALID TEAM"))))</f>
        <v/>
      </c>
      <c r="K201" s="1" t="str">
        <f>IF(F201="SOLD",COUNTIF($F$4:F201,"SOLD"),"")</f>
        <v/>
      </c>
      <c r="L201" s="1" t="str">
        <f>IF(F201="UNSOLD",COUNTIF($F$4:F201,"UNSOLD"),"")</f>
        <v/>
      </c>
      <c r="M201" s="1" t="str">
        <f>IF(AND(F201="SOLD",G201='Team View'!$B$3),COUNTIFS($F$4:F201,"SOLD",$G$4:G201,'Team View'!$B$3),"")</f>
        <v/>
      </c>
    </row>
    <row r="202" spans="1:13">
      <c r="A202" s="1" t="str">
        <f t="shared" si="3"/>
        <v/>
      </c>
      <c r="B202" s="1"/>
      <c r="C202" s="1"/>
      <c r="D202" s="1"/>
      <c r="E202" s="7"/>
      <c r="F202" s="1"/>
      <c r="G202" s="1"/>
      <c r="H202" s="7"/>
      <c r="I202" s="1"/>
      <c r="J202" s="1" t="str">
        <f>IF(B202="","",IF(F202&lt;&gt;"SOLD","",IF(OR(G202="",H202=""),"SELECT TEAM &amp; PRICE",IFERROR(IF(H202&gt;INDEX(Teams!$B$4:$B$13,MATCH(G202,Teams!$A$4:$A$13,0))-SUMIFS($H$4:$H$503,$G$4:$G$503,G202,$F$4:$F$503,"SOLD",$A$4:$A$503,"&lt;&gt;"&amp;A202),"OVER BUDGET","OK"),"INVALID TEAM"))))</f>
        <v/>
      </c>
      <c r="K202" s="1" t="str">
        <f>IF(F202="SOLD",COUNTIF($F$4:F202,"SOLD"),"")</f>
        <v/>
      </c>
      <c r="L202" s="1" t="str">
        <f>IF(F202="UNSOLD",COUNTIF($F$4:F202,"UNSOLD"),"")</f>
        <v/>
      </c>
      <c r="M202" s="1" t="str">
        <f>IF(AND(F202="SOLD",G202='Team View'!$B$3),COUNTIFS($F$4:F202,"SOLD",$G$4:G202,'Team View'!$B$3),"")</f>
        <v/>
      </c>
    </row>
    <row r="203" spans="1:13">
      <c r="A203" s="1" t="str">
        <f t="shared" si="3"/>
        <v/>
      </c>
      <c r="B203" s="1"/>
      <c r="C203" s="1"/>
      <c r="D203" s="1"/>
      <c r="E203" s="7"/>
      <c r="F203" s="1"/>
      <c r="G203" s="1"/>
      <c r="H203" s="7"/>
      <c r="I203" s="1"/>
      <c r="J203" s="1" t="str">
        <f>IF(B203="","",IF(F203&lt;&gt;"SOLD","",IF(OR(G203="",H203=""),"SELECT TEAM &amp; PRICE",IFERROR(IF(H203&gt;INDEX(Teams!$B$4:$B$13,MATCH(G203,Teams!$A$4:$A$13,0))-SUMIFS($H$4:$H$503,$G$4:$G$503,G203,$F$4:$F$503,"SOLD",$A$4:$A$503,"&lt;&gt;"&amp;A203),"OVER BUDGET","OK"),"INVALID TEAM"))))</f>
        <v/>
      </c>
      <c r="K203" s="1" t="str">
        <f>IF(F203="SOLD",COUNTIF($F$4:F203,"SOLD"),"")</f>
        <v/>
      </c>
      <c r="L203" s="1" t="str">
        <f>IF(F203="UNSOLD",COUNTIF($F$4:F203,"UNSOLD"),"")</f>
        <v/>
      </c>
      <c r="M203" s="1" t="str">
        <f>IF(AND(F203="SOLD",G203='Team View'!$B$3),COUNTIFS($F$4:F203,"SOLD",$G$4:G203,'Team View'!$B$3),"")</f>
        <v/>
      </c>
    </row>
    <row r="204" spans="1:13">
      <c r="A204" s="1" t="str">
        <f t="shared" si="3"/>
        <v/>
      </c>
      <c r="B204" s="1"/>
      <c r="C204" s="1"/>
      <c r="D204" s="1"/>
      <c r="E204" s="7"/>
      <c r="F204" s="1"/>
      <c r="G204" s="1"/>
      <c r="H204" s="7"/>
      <c r="I204" s="1"/>
      <c r="J204" s="1" t="str">
        <f>IF(B204="","",IF(F204&lt;&gt;"SOLD","",IF(OR(G204="",H204=""),"SELECT TEAM &amp; PRICE",IFERROR(IF(H204&gt;INDEX(Teams!$B$4:$B$13,MATCH(G204,Teams!$A$4:$A$13,0))-SUMIFS($H$4:$H$503,$G$4:$G$503,G204,$F$4:$F$503,"SOLD",$A$4:$A$503,"&lt;&gt;"&amp;A204),"OVER BUDGET","OK"),"INVALID TEAM"))))</f>
        <v/>
      </c>
      <c r="K204" s="1" t="str">
        <f>IF(F204="SOLD",COUNTIF($F$4:F204,"SOLD"),"")</f>
        <v/>
      </c>
      <c r="L204" s="1" t="str">
        <f>IF(F204="UNSOLD",COUNTIF($F$4:F204,"UNSOLD"),"")</f>
        <v/>
      </c>
      <c r="M204" s="1" t="str">
        <f>IF(AND(F204="SOLD",G204='Team View'!$B$3),COUNTIFS($F$4:F204,"SOLD",$G$4:G204,'Team View'!$B$3),"")</f>
        <v/>
      </c>
    </row>
    <row r="205" spans="1:13">
      <c r="A205" s="1" t="str">
        <f t="shared" si="3"/>
        <v/>
      </c>
      <c r="B205" s="1"/>
      <c r="C205" s="1"/>
      <c r="D205" s="1"/>
      <c r="E205" s="7"/>
      <c r="F205" s="1"/>
      <c r="G205" s="1"/>
      <c r="H205" s="7"/>
      <c r="I205" s="1"/>
      <c r="J205" s="1" t="str">
        <f>IF(B205="","",IF(F205&lt;&gt;"SOLD","",IF(OR(G205="",H205=""),"SELECT TEAM &amp; PRICE",IFERROR(IF(H205&gt;INDEX(Teams!$B$4:$B$13,MATCH(G205,Teams!$A$4:$A$13,0))-SUMIFS($H$4:$H$503,$G$4:$G$503,G205,$F$4:$F$503,"SOLD",$A$4:$A$503,"&lt;&gt;"&amp;A205),"OVER BUDGET","OK"),"INVALID TEAM"))))</f>
        <v/>
      </c>
      <c r="K205" s="1" t="str">
        <f>IF(F205="SOLD",COUNTIF($F$4:F205,"SOLD"),"")</f>
        <v/>
      </c>
      <c r="L205" s="1" t="str">
        <f>IF(F205="UNSOLD",COUNTIF($F$4:F205,"UNSOLD"),"")</f>
        <v/>
      </c>
      <c r="M205" s="1" t="str">
        <f>IF(AND(F205="SOLD",G205='Team View'!$B$3),COUNTIFS($F$4:F205,"SOLD",$G$4:G205,'Team View'!$B$3),"")</f>
        <v/>
      </c>
    </row>
    <row r="206" spans="1:13">
      <c r="A206" s="1" t="str">
        <f t="shared" si="3"/>
        <v/>
      </c>
      <c r="B206" s="1"/>
      <c r="C206" s="1"/>
      <c r="D206" s="1"/>
      <c r="E206" s="7"/>
      <c r="F206" s="1"/>
      <c r="G206" s="1"/>
      <c r="H206" s="7"/>
      <c r="I206" s="1"/>
      <c r="J206" s="1" t="str">
        <f>IF(B206="","",IF(F206&lt;&gt;"SOLD","",IF(OR(G206="",H206=""),"SELECT TEAM &amp; PRICE",IFERROR(IF(H206&gt;INDEX(Teams!$B$4:$B$13,MATCH(G206,Teams!$A$4:$A$13,0))-SUMIFS($H$4:$H$503,$G$4:$G$503,G206,$F$4:$F$503,"SOLD",$A$4:$A$503,"&lt;&gt;"&amp;A206),"OVER BUDGET","OK"),"INVALID TEAM"))))</f>
        <v/>
      </c>
      <c r="K206" s="1" t="str">
        <f>IF(F206="SOLD",COUNTIF($F$4:F206,"SOLD"),"")</f>
        <v/>
      </c>
      <c r="L206" s="1" t="str">
        <f>IF(F206="UNSOLD",COUNTIF($F$4:F206,"UNSOLD"),"")</f>
        <v/>
      </c>
      <c r="M206" s="1" t="str">
        <f>IF(AND(F206="SOLD",G206='Team View'!$B$3),COUNTIFS($F$4:F206,"SOLD",$G$4:G206,'Team View'!$B$3),"")</f>
        <v/>
      </c>
    </row>
    <row r="207" spans="1:13">
      <c r="A207" s="1" t="str">
        <f t="shared" si="3"/>
        <v/>
      </c>
      <c r="B207" s="1"/>
      <c r="C207" s="1"/>
      <c r="D207" s="1"/>
      <c r="E207" s="7"/>
      <c r="F207" s="1"/>
      <c r="G207" s="1"/>
      <c r="H207" s="7"/>
      <c r="I207" s="1"/>
      <c r="J207" s="1" t="str">
        <f>IF(B207="","",IF(F207&lt;&gt;"SOLD","",IF(OR(G207="",H207=""),"SELECT TEAM &amp; PRICE",IFERROR(IF(H207&gt;INDEX(Teams!$B$4:$B$13,MATCH(G207,Teams!$A$4:$A$13,0))-SUMIFS($H$4:$H$503,$G$4:$G$503,G207,$F$4:$F$503,"SOLD",$A$4:$A$503,"&lt;&gt;"&amp;A207),"OVER BUDGET","OK"),"INVALID TEAM"))))</f>
        <v/>
      </c>
      <c r="K207" s="1" t="str">
        <f>IF(F207="SOLD",COUNTIF($F$4:F207,"SOLD"),"")</f>
        <v/>
      </c>
      <c r="L207" s="1" t="str">
        <f>IF(F207="UNSOLD",COUNTIF($F$4:F207,"UNSOLD"),"")</f>
        <v/>
      </c>
      <c r="M207" s="1" t="str">
        <f>IF(AND(F207="SOLD",G207='Team View'!$B$3),COUNTIFS($F$4:F207,"SOLD",$G$4:G207,'Team View'!$B$3),"")</f>
        <v/>
      </c>
    </row>
    <row r="208" spans="1:13">
      <c r="A208" s="1" t="str">
        <f t="shared" si="3"/>
        <v/>
      </c>
      <c r="B208" s="1"/>
      <c r="C208" s="1"/>
      <c r="D208" s="1"/>
      <c r="E208" s="7"/>
      <c r="F208" s="1"/>
      <c r="G208" s="1"/>
      <c r="H208" s="7"/>
      <c r="I208" s="1"/>
      <c r="J208" s="1" t="str">
        <f>IF(B208="","",IF(F208&lt;&gt;"SOLD","",IF(OR(G208="",H208=""),"SELECT TEAM &amp; PRICE",IFERROR(IF(H208&gt;INDEX(Teams!$B$4:$B$13,MATCH(G208,Teams!$A$4:$A$13,0))-SUMIFS($H$4:$H$503,$G$4:$G$503,G208,$F$4:$F$503,"SOLD",$A$4:$A$503,"&lt;&gt;"&amp;A208),"OVER BUDGET","OK"),"INVALID TEAM"))))</f>
        <v/>
      </c>
      <c r="K208" s="1" t="str">
        <f>IF(F208="SOLD",COUNTIF($F$4:F208,"SOLD"),"")</f>
        <v/>
      </c>
      <c r="L208" s="1" t="str">
        <f>IF(F208="UNSOLD",COUNTIF($F$4:F208,"UNSOLD"),"")</f>
        <v/>
      </c>
      <c r="M208" s="1" t="str">
        <f>IF(AND(F208="SOLD",G208='Team View'!$B$3),COUNTIFS($F$4:F208,"SOLD",$G$4:G208,'Team View'!$B$3),"")</f>
        <v/>
      </c>
    </row>
    <row r="209" spans="1:13">
      <c r="A209" s="1" t="str">
        <f t="shared" si="3"/>
        <v/>
      </c>
      <c r="B209" s="1"/>
      <c r="C209" s="1"/>
      <c r="D209" s="1"/>
      <c r="E209" s="7"/>
      <c r="F209" s="1"/>
      <c r="G209" s="1"/>
      <c r="H209" s="7"/>
      <c r="I209" s="1"/>
      <c r="J209" s="1" t="str">
        <f>IF(B209="","",IF(F209&lt;&gt;"SOLD","",IF(OR(G209="",H209=""),"SELECT TEAM &amp; PRICE",IFERROR(IF(H209&gt;INDEX(Teams!$B$4:$B$13,MATCH(G209,Teams!$A$4:$A$13,0))-SUMIFS($H$4:$H$503,$G$4:$G$503,G209,$F$4:$F$503,"SOLD",$A$4:$A$503,"&lt;&gt;"&amp;A209),"OVER BUDGET","OK"),"INVALID TEAM"))))</f>
        <v/>
      </c>
      <c r="K209" s="1" t="str">
        <f>IF(F209="SOLD",COUNTIF($F$4:F209,"SOLD"),"")</f>
        <v/>
      </c>
      <c r="L209" s="1" t="str">
        <f>IF(F209="UNSOLD",COUNTIF($F$4:F209,"UNSOLD"),"")</f>
        <v/>
      </c>
      <c r="M209" s="1" t="str">
        <f>IF(AND(F209="SOLD",G209='Team View'!$B$3),COUNTIFS($F$4:F209,"SOLD",$G$4:G209,'Team View'!$B$3),"")</f>
        <v/>
      </c>
    </row>
    <row r="210" spans="1:13">
      <c r="A210" s="1" t="str">
        <f t="shared" si="3"/>
        <v/>
      </c>
      <c r="B210" s="1"/>
      <c r="C210" s="1"/>
      <c r="D210" s="1"/>
      <c r="E210" s="7"/>
      <c r="F210" s="1"/>
      <c r="G210" s="1"/>
      <c r="H210" s="7"/>
      <c r="I210" s="1"/>
      <c r="J210" s="1" t="str">
        <f>IF(B210="","",IF(F210&lt;&gt;"SOLD","",IF(OR(G210="",H210=""),"SELECT TEAM &amp; PRICE",IFERROR(IF(H210&gt;INDEX(Teams!$B$4:$B$13,MATCH(G210,Teams!$A$4:$A$13,0))-SUMIFS($H$4:$H$503,$G$4:$G$503,G210,$F$4:$F$503,"SOLD",$A$4:$A$503,"&lt;&gt;"&amp;A210),"OVER BUDGET","OK"),"INVALID TEAM"))))</f>
        <v/>
      </c>
      <c r="K210" s="1" t="str">
        <f>IF(F210="SOLD",COUNTIF($F$4:F210,"SOLD"),"")</f>
        <v/>
      </c>
      <c r="L210" s="1" t="str">
        <f>IF(F210="UNSOLD",COUNTIF($F$4:F210,"UNSOLD"),"")</f>
        <v/>
      </c>
      <c r="M210" s="1" t="str">
        <f>IF(AND(F210="SOLD",G210='Team View'!$B$3),COUNTIFS($F$4:F210,"SOLD",$G$4:G210,'Team View'!$B$3),"")</f>
        <v/>
      </c>
    </row>
    <row r="211" spans="1:13">
      <c r="A211" s="1" t="str">
        <f t="shared" si="3"/>
        <v/>
      </c>
      <c r="B211" s="1"/>
      <c r="C211" s="1"/>
      <c r="D211" s="1"/>
      <c r="E211" s="7"/>
      <c r="F211" s="1"/>
      <c r="G211" s="1"/>
      <c r="H211" s="7"/>
      <c r="I211" s="1"/>
      <c r="J211" s="1" t="str">
        <f>IF(B211="","",IF(F211&lt;&gt;"SOLD","",IF(OR(G211="",H211=""),"SELECT TEAM &amp; PRICE",IFERROR(IF(H211&gt;INDEX(Teams!$B$4:$B$13,MATCH(G211,Teams!$A$4:$A$13,0))-SUMIFS($H$4:$H$503,$G$4:$G$503,G211,$F$4:$F$503,"SOLD",$A$4:$A$503,"&lt;&gt;"&amp;A211),"OVER BUDGET","OK"),"INVALID TEAM"))))</f>
        <v/>
      </c>
      <c r="K211" s="1" t="str">
        <f>IF(F211="SOLD",COUNTIF($F$4:F211,"SOLD"),"")</f>
        <v/>
      </c>
      <c r="L211" s="1" t="str">
        <f>IF(F211="UNSOLD",COUNTIF($F$4:F211,"UNSOLD"),"")</f>
        <v/>
      </c>
      <c r="M211" s="1" t="str">
        <f>IF(AND(F211="SOLD",G211='Team View'!$B$3),COUNTIFS($F$4:F211,"SOLD",$G$4:G211,'Team View'!$B$3),"")</f>
        <v/>
      </c>
    </row>
    <row r="212" spans="1:13">
      <c r="A212" s="1" t="str">
        <f t="shared" si="3"/>
        <v/>
      </c>
      <c r="B212" s="1"/>
      <c r="C212" s="1"/>
      <c r="D212" s="1"/>
      <c r="E212" s="7"/>
      <c r="F212" s="1"/>
      <c r="G212" s="1"/>
      <c r="H212" s="7"/>
      <c r="I212" s="1"/>
      <c r="J212" s="1" t="str">
        <f>IF(B212="","",IF(F212&lt;&gt;"SOLD","",IF(OR(G212="",H212=""),"SELECT TEAM &amp; PRICE",IFERROR(IF(H212&gt;INDEX(Teams!$B$4:$B$13,MATCH(G212,Teams!$A$4:$A$13,0))-SUMIFS($H$4:$H$503,$G$4:$G$503,G212,$F$4:$F$503,"SOLD",$A$4:$A$503,"&lt;&gt;"&amp;A212),"OVER BUDGET","OK"),"INVALID TEAM"))))</f>
        <v/>
      </c>
      <c r="K212" s="1" t="str">
        <f>IF(F212="SOLD",COUNTIF($F$4:F212,"SOLD"),"")</f>
        <v/>
      </c>
      <c r="L212" s="1" t="str">
        <f>IF(F212="UNSOLD",COUNTIF($F$4:F212,"UNSOLD"),"")</f>
        <v/>
      </c>
      <c r="M212" s="1" t="str">
        <f>IF(AND(F212="SOLD",G212='Team View'!$B$3),COUNTIFS($F$4:F212,"SOLD",$G$4:G212,'Team View'!$B$3),"")</f>
        <v/>
      </c>
    </row>
    <row r="213" spans="1:13">
      <c r="A213" s="1" t="str">
        <f t="shared" si="3"/>
        <v/>
      </c>
      <c r="B213" s="1"/>
      <c r="C213" s="1"/>
      <c r="D213" s="1"/>
      <c r="E213" s="7"/>
      <c r="F213" s="1"/>
      <c r="G213" s="1"/>
      <c r="H213" s="7"/>
      <c r="I213" s="1"/>
      <c r="J213" s="1" t="str">
        <f>IF(B213="","",IF(F213&lt;&gt;"SOLD","",IF(OR(G213="",H213=""),"SELECT TEAM &amp; PRICE",IFERROR(IF(H213&gt;INDEX(Teams!$B$4:$B$13,MATCH(G213,Teams!$A$4:$A$13,0))-SUMIFS($H$4:$H$503,$G$4:$G$503,G213,$F$4:$F$503,"SOLD",$A$4:$A$503,"&lt;&gt;"&amp;A213),"OVER BUDGET","OK"),"INVALID TEAM"))))</f>
        <v/>
      </c>
      <c r="K213" s="1" t="str">
        <f>IF(F213="SOLD",COUNTIF($F$4:F213,"SOLD"),"")</f>
        <v/>
      </c>
      <c r="L213" s="1" t="str">
        <f>IF(F213="UNSOLD",COUNTIF($F$4:F213,"UNSOLD"),"")</f>
        <v/>
      </c>
      <c r="M213" s="1" t="str">
        <f>IF(AND(F213="SOLD",G213='Team View'!$B$3),COUNTIFS($F$4:F213,"SOLD",$G$4:G213,'Team View'!$B$3),"")</f>
        <v/>
      </c>
    </row>
    <row r="214" spans="1:13">
      <c r="A214" s="1" t="str">
        <f t="shared" si="3"/>
        <v/>
      </c>
      <c r="B214" s="1"/>
      <c r="C214" s="1"/>
      <c r="D214" s="1"/>
      <c r="E214" s="7"/>
      <c r="F214" s="1"/>
      <c r="G214" s="1"/>
      <c r="H214" s="7"/>
      <c r="I214" s="1"/>
      <c r="J214" s="1" t="str">
        <f>IF(B214="","",IF(F214&lt;&gt;"SOLD","",IF(OR(G214="",H214=""),"SELECT TEAM &amp; PRICE",IFERROR(IF(H214&gt;INDEX(Teams!$B$4:$B$13,MATCH(G214,Teams!$A$4:$A$13,0))-SUMIFS($H$4:$H$503,$G$4:$G$503,G214,$F$4:$F$503,"SOLD",$A$4:$A$503,"&lt;&gt;"&amp;A214),"OVER BUDGET","OK"),"INVALID TEAM"))))</f>
        <v/>
      </c>
      <c r="K214" s="1" t="str">
        <f>IF(F214="SOLD",COUNTIF($F$4:F214,"SOLD"),"")</f>
        <v/>
      </c>
      <c r="L214" s="1" t="str">
        <f>IF(F214="UNSOLD",COUNTIF($F$4:F214,"UNSOLD"),"")</f>
        <v/>
      </c>
      <c r="M214" s="1" t="str">
        <f>IF(AND(F214="SOLD",G214='Team View'!$B$3),COUNTIFS($F$4:F214,"SOLD",$G$4:G214,'Team View'!$B$3),"")</f>
        <v/>
      </c>
    </row>
    <row r="215" spans="1:13">
      <c r="A215" s="1" t="str">
        <f t="shared" si="3"/>
        <v/>
      </c>
      <c r="B215" s="1"/>
      <c r="C215" s="1"/>
      <c r="D215" s="1"/>
      <c r="E215" s="7"/>
      <c r="F215" s="1"/>
      <c r="G215" s="1"/>
      <c r="H215" s="7"/>
      <c r="I215" s="1"/>
      <c r="J215" s="1" t="str">
        <f>IF(B215="","",IF(F215&lt;&gt;"SOLD","",IF(OR(G215="",H215=""),"SELECT TEAM &amp; PRICE",IFERROR(IF(H215&gt;INDEX(Teams!$B$4:$B$13,MATCH(G215,Teams!$A$4:$A$13,0))-SUMIFS($H$4:$H$503,$G$4:$G$503,G215,$F$4:$F$503,"SOLD",$A$4:$A$503,"&lt;&gt;"&amp;A215),"OVER BUDGET","OK"),"INVALID TEAM"))))</f>
        <v/>
      </c>
      <c r="K215" s="1" t="str">
        <f>IF(F215="SOLD",COUNTIF($F$4:F215,"SOLD"),"")</f>
        <v/>
      </c>
      <c r="L215" s="1" t="str">
        <f>IF(F215="UNSOLD",COUNTIF($F$4:F215,"UNSOLD"),"")</f>
        <v/>
      </c>
      <c r="M215" s="1" t="str">
        <f>IF(AND(F215="SOLD",G215='Team View'!$B$3),COUNTIFS($F$4:F215,"SOLD",$G$4:G215,'Team View'!$B$3),"")</f>
        <v/>
      </c>
    </row>
    <row r="216" spans="1:13">
      <c r="A216" s="1" t="str">
        <f t="shared" si="3"/>
        <v/>
      </c>
      <c r="B216" s="1"/>
      <c r="C216" s="1"/>
      <c r="D216" s="1"/>
      <c r="E216" s="7"/>
      <c r="F216" s="1"/>
      <c r="G216" s="1"/>
      <c r="H216" s="7"/>
      <c r="I216" s="1"/>
      <c r="J216" s="1" t="str">
        <f>IF(B216="","",IF(F216&lt;&gt;"SOLD","",IF(OR(G216="",H216=""),"SELECT TEAM &amp; PRICE",IFERROR(IF(H216&gt;INDEX(Teams!$B$4:$B$13,MATCH(G216,Teams!$A$4:$A$13,0))-SUMIFS($H$4:$H$503,$G$4:$G$503,G216,$F$4:$F$503,"SOLD",$A$4:$A$503,"&lt;&gt;"&amp;A216),"OVER BUDGET","OK"),"INVALID TEAM"))))</f>
        <v/>
      </c>
      <c r="K216" s="1" t="str">
        <f>IF(F216="SOLD",COUNTIF($F$4:F216,"SOLD"),"")</f>
        <v/>
      </c>
      <c r="L216" s="1" t="str">
        <f>IF(F216="UNSOLD",COUNTIF($F$4:F216,"UNSOLD"),"")</f>
        <v/>
      </c>
      <c r="M216" s="1" t="str">
        <f>IF(AND(F216="SOLD",G216='Team View'!$B$3),COUNTIFS($F$4:F216,"SOLD",$G$4:G216,'Team View'!$B$3),"")</f>
        <v/>
      </c>
    </row>
    <row r="217" spans="1:13">
      <c r="A217" s="1" t="str">
        <f t="shared" si="3"/>
        <v/>
      </c>
      <c r="B217" s="1"/>
      <c r="C217" s="1"/>
      <c r="D217" s="1"/>
      <c r="E217" s="7"/>
      <c r="F217" s="1"/>
      <c r="G217" s="1"/>
      <c r="H217" s="7"/>
      <c r="I217" s="1"/>
      <c r="J217" s="1" t="str">
        <f>IF(B217="","",IF(F217&lt;&gt;"SOLD","",IF(OR(G217="",H217=""),"SELECT TEAM &amp; PRICE",IFERROR(IF(H217&gt;INDEX(Teams!$B$4:$B$13,MATCH(G217,Teams!$A$4:$A$13,0))-SUMIFS($H$4:$H$503,$G$4:$G$503,G217,$F$4:$F$503,"SOLD",$A$4:$A$503,"&lt;&gt;"&amp;A217),"OVER BUDGET","OK"),"INVALID TEAM"))))</f>
        <v/>
      </c>
      <c r="K217" s="1" t="str">
        <f>IF(F217="SOLD",COUNTIF($F$4:F217,"SOLD"),"")</f>
        <v/>
      </c>
      <c r="L217" s="1" t="str">
        <f>IF(F217="UNSOLD",COUNTIF($F$4:F217,"UNSOLD"),"")</f>
        <v/>
      </c>
      <c r="M217" s="1" t="str">
        <f>IF(AND(F217="SOLD",G217='Team View'!$B$3),COUNTIFS($F$4:F217,"SOLD",$G$4:G217,'Team View'!$B$3),"")</f>
        <v/>
      </c>
    </row>
    <row r="218" spans="1:13">
      <c r="A218" s="1" t="str">
        <f t="shared" si="3"/>
        <v/>
      </c>
      <c r="B218" s="1"/>
      <c r="C218" s="1"/>
      <c r="D218" s="1"/>
      <c r="E218" s="7"/>
      <c r="F218" s="1"/>
      <c r="G218" s="1"/>
      <c r="H218" s="7"/>
      <c r="I218" s="1"/>
      <c r="J218" s="1" t="str">
        <f>IF(B218="","",IF(F218&lt;&gt;"SOLD","",IF(OR(G218="",H218=""),"SELECT TEAM &amp; PRICE",IFERROR(IF(H218&gt;INDEX(Teams!$B$4:$B$13,MATCH(G218,Teams!$A$4:$A$13,0))-SUMIFS($H$4:$H$503,$G$4:$G$503,G218,$F$4:$F$503,"SOLD",$A$4:$A$503,"&lt;&gt;"&amp;A218),"OVER BUDGET","OK"),"INVALID TEAM"))))</f>
        <v/>
      </c>
      <c r="K218" s="1" t="str">
        <f>IF(F218="SOLD",COUNTIF($F$4:F218,"SOLD"),"")</f>
        <v/>
      </c>
      <c r="L218" s="1" t="str">
        <f>IF(F218="UNSOLD",COUNTIF($F$4:F218,"UNSOLD"),"")</f>
        <v/>
      </c>
      <c r="M218" s="1" t="str">
        <f>IF(AND(F218="SOLD",G218='Team View'!$B$3),COUNTIFS($F$4:F218,"SOLD",$G$4:G218,'Team View'!$B$3),"")</f>
        <v/>
      </c>
    </row>
    <row r="219" spans="1:13">
      <c r="A219" s="1" t="str">
        <f t="shared" si="3"/>
        <v/>
      </c>
      <c r="B219" s="1"/>
      <c r="C219" s="1"/>
      <c r="D219" s="1"/>
      <c r="E219" s="7"/>
      <c r="F219" s="1"/>
      <c r="G219" s="1"/>
      <c r="H219" s="7"/>
      <c r="I219" s="1"/>
      <c r="J219" s="1" t="str">
        <f>IF(B219="","",IF(F219&lt;&gt;"SOLD","",IF(OR(G219="",H219=""),"SELECT TEAM &amp; PRICE",IFERROR(IF(H219&gt;INDEX(Teams!$B$4:$B$13,MATCH(G219,Teams!$A$4:$A$13,0))-SUMIFS($H$4:$H$503,$G$4:$G$503,G219,$F$4:$F$503,"SOLD",$A$4:$A$503,"&lt;&gt;"&amp;A219),"OVER BUDGET","OK"),"INVALID TEAM"))))</f>
        <v/>
      </c>
      <c r="K219" s="1" t="str">
        <f>IF(F219="SOLD",COUNTIF($F$4:F219,"SOLD"),"")</f>
        <v/>
      </c>
      <c r="L219" s="1" t="str">
        <f>IF(F219="UNSOLD",COUNTIF($F$4:F219,"UNSOLD"),"")</f>
        <v/>
      </c>
      <c r="M219" s="1" t="str">
        <f>IF(AND(F219="SOLD",G219='Team View'!$B$3),COUNTIFS($F$4:F219,"SOLD",$G$4:G219,'Team View'!$B$3),"")</f>
        <v/>
      </c>
    </row>
    <row r="220" spans="1:13">
      <c r="A220" s="1" t="str">
        <f t="shared" si="3"/>
        <v/>
      </c>
      <c r="B220" s="1"/>
      <c r="C220" s="1"/>
      <c r="D220" s="1"/>
      <c r="E220" s="7"/>
      <c r="F220" s="1"/>
      <c r="G220" s="1"/>
      <c r="H220" s="7"/>
      <c r="I220" s="1"/>
      <c r="J220" s="1" t="str">
        <f>IF(B220="","",IF(F220&lt;&gt;"SOLD","",IF(OR(G220="",H220=""),"SELECT TEAM &amp; PRICE",IFERROR(IF(H220&gt;INDEX(Teams!$B$4:$B$13,MATCH(G220,Teams!$A$4:$A$13,0))-SUMIFS($H$4:$H$503,$G$4:$G$503,G220,$F$4:$F$503,"SOLD",$A$4:$A$503,"&lt;&gt;"&amp;A220),"OVER BUDGET","OK"),"INVALID TEAM"))))</f>
        <v/>
      </c>
      <c r="K220" s="1" t="str">
        <f>IF(F220="SOLD",COUNTIF($F$4:F220,"SOLD"),"")</f>
        <v/>
      </c>
      <c r="L220" s="1" t="str">
        <f>IF(F220="UNSOLD",COUNTIF($F$4:F220,"UNSOLD"),"")</f>
        <v/>
      </c>
      <c r="M220" s="1" t="str">
        <f>IF(AND(F220="SOLD",G220='Team View'!$B$3),COUNTIFS($F$4:F220,"SOLD",$G$4:G220,'Team View'!$B$3),"")</f>
        <v/>
      </c>
    </row>
    <row r="221" spans="1:13">
      <c r="A221" s="1" t="str">
        <f t="shared" si="3"/>
        <v/>
      </c>
      <c r="B221" s="1"/>
      <c r="C221" s="1"/>
      <c r="D221" s="1"/>
      <c r="E221" s="7"/>
      <c r="F221" s="1"/>
      <c r="G221" s="1"/>
      <c r="H221" s="7"/>
      <c r="I221" s="1"/>
      <c r="J221" s="1" t="str">
        <f>IF(B221="","",IF(F221&lt;&gt;"SOLD","",IF(OR(G221="",H221=""),"SELECT TEAM &amp; PRICE",IFERROR(IF(H221&gt;INDEX(Teams!$B$4:$B$13,MATCH(G221,Teams!$A$4:$A$13,0))-SUMIFS($H$4:$H$503,$G$4:$G$503,G221,$F$4:$F$503,"SOLD",$A$4:$A$503,"&lt;&gt;"&amp;A221),"OVER BUDGET","OK"),"INVALID TEAM"))))</f>
        <v/>
      </c>
      <c r="K221" s="1" t="str">
        <f>IF(F221="SOLD",COUNTIF($F$4:F221,"SOLD"),"")</f>
        <v/>
      </c>
      <c r="L221" s="1" t="str">
        <f>IF(F221="UNSOLD",COUNTIF($F$4:F221,"UNSOLD"),"")</f>
        <v/>
      </c>
      <c r="M221" s="1" t="str">
        <f>IF(AND(F221="SOLD",G221='Team View'!$B$3),COUNTIFS($F$4:F221,"SOLD",$G$4:G221,'Team View'!$B$3),"")</f>
        <v/>
      </c>
    </row>
    <row r="222" spans="1:13">
      <c r="A222" s="1" t="str">
        <f t="shared" si="3"/>
        <v/>
      </c>
      <c r="B222" s="1"/>
      <c r="C222" s="1"/>
      <c r="D222" s="1"/>
      <c r="E222" s="7"/>
      <c r="F222" s="1"/>
      <c r="G222" s="1"/>
      <c r="H222" s="7"/>
      <c r="I222" s="1"/>
      <c r="J222" s="1" t="str">
        <f>IF(B222="","",IF(F222&lt;&gt;"SOLD","",IF(OR(G222="",H222=""),"SELECT TEAM &amp; PRICE",IFERROR(IF(H222&gt;INDEX(Teams!$B$4:$B$13,MATCH(G222,Teams!$A$4:$A$13,0))-SUMIFS($H$4:$H$503,$G$4:$G$503,G222,$F$4:$F$503,"SOLD",$A$4:$A$503,"&lt;&gt;"&amp;A222),"OVER BUDGET","OK"),"INVALID TEAM"))))</f>
        <v/>
      </c>
      <c r="K222" s="1" t="str">
        <f>IF(F222="SOLD",COUNTIF($F$4:F222,"SOLD"),"")</f>
        <v/>
      </c>
      <c r="L222" s="1" t="str">
        <f>IF(F222="UNSOLD",COUNTIF($F$4:F222,"UNSOLD"),"")</f>
        <v/>
      </c>
      <c r="M222" s="1" t="str">
        <f>IF(AND(F222="SOLD",G222='Team View'!$B$3),COUNTIFS($F$4:F222,"SOLD",$G$4:G222,'Team View'!$B$3),"")</f>
        <v/>
      </c>
    </row>
    <row r="223" spans="1:13">
      <c r="A223" s="1" t="str">
        <f t="shared" si="3"/>
        <v/>
      </c>
      <c r="B223" s="1"/>
      <c r="C223" s="1"/>
      <c r="D223" s="1"/>
      <c r="E223" s="7"/>
      <c r="F223" s="1"/>
      <c r="G223" s="1"/>
      <c r="H223" s="7"/>
      <c r="I223" s="1"/>
      <c r="J223" s="1" t="str">
        <f>IF(B223="","",IF(F223&lt;&gt;"SOLD","",IF(OR(G223="",H223=""),"SELECT TEAM &amp; PRICE",IFERROR(IF(H223&gt;INDEX(Teams!$B$4:$B$13,MATCH(G223,Teams!$A$4:$A$13,0))-SUMIFS($H$4:$H$503,$G$4:$G$503,G223,$F$4:$F$503,"SOLD",$A$4:$A$503,"&lt;&gt;"&amp;A223),"OVER BUDGET","OK"),"INVALID TEAM"))))</f>
        <v/>
      </c>
      <c r="K223" s="1" t="str">
        <f>IF(F223="SOLD",COUNTIF($F$4:F223,"SOLD"),"")</f>
        <v/>
      </c>
      <c r="L223" s="1" t="str">
        <f>IF(F223="UNSOLD",COUNTIF($F$4:F223,"UNSOLD"),"")</f>
        <v/>
      </c>
      <c r="M223" s="1" t="str">
        <f>IF(AND(F223="SOLD",G223='Team View'!$B$3),COUNTIFS($F$4:F223,"SOLD",$G$4:G223,'Team View'!$B$3),"")</f>
        <v/>
      </c>
    </row>
    <row r="224" spans="1:13">
      <c r="A224" s="1" t="str">
        <f t="shared" si="3"/>
        <v/>
      </c>
      <c r="B224" s="1"/>
      <c r="C224" s="1"/>
      <c r="D224" s="1"/>
      <c r="E224" s="7"/>
      <c r="F224" s="1"/>
      <c r="G224" s="1"/>
      <c r="H224" s="7"/>
      <c r="I224" s="1"/>
      <c r="J224" s="1" t="str">
        <f>IF(B224="","",IF(F224&lt;&gt;"SOLD","",IF(OR(G224="",H224=""),"SELECT TEAM &amp; PRICE",IFERROR(IF(H224&gt;INDEX(Teams!$B$4:$B$13,MATCH(G224,Teams!$A$4:$A$13,0))-SUMIFS($H$4:$H$503,$G$4:$G$503,G224,$F$4:$F$503,"SOLD",$A$4:$A$503,"&lt;&gt;"&amp;A224),"OVER BUDGET","OK"),"INVALID TEAM"))))</f>
        <v/>
      </c>
      <c r="K224" s="1" t="str">
        <f>IF(F224="SOLD",COUNTIF($F$4:F224,"SOLD"),"")</f>
        <v/>
      </c>
      <c r="L224" s="1" t="str">
        <f>IF(F224="UNSOLD",COUNTIF($F$4:F224,"UNSOLD"),"")</f>
        <v/>
      </c>
      <c r="M224" s="1" t="str">
        <f>IF(AND(F224="SOLD",G224='Team View'!$B$3),COUNTIFS($F$4:F224,"SOLD",$G$4:G224,'Team View'!$B$3),"")</f>
        <v/>
      </c>
    </row>
    <row r="225" spans="1:13">
      <c r="A225" s="1" t="str">
        <f t="shared" si="3"/>
        <v/>
      </c>
      <c r="B225" s="1"/>
      <c r="C225" s="1"/>
      <c r="D225" s="1"/>
      <c r="E225" s="7"/>
      <c r="F225" s="1"/>
      <c r="G225" s="1"/>
      <c r="H225" s="7"/>
      <c r="I225" s="1"/>
      <c r="J225" s="1" t="str">
        <f>IF(B225="","",IF(F225&lt;&gt;"SOLD","",IF(OR(G225="",H225=""),"SELECT TEAM &amp; PRICE",IFERROR(IF(H225&gt;INDEX(Teams!$B$4:$B$13,MATCH(G225,Teams!$A$4:$A$13,0))-SUMIFS($H$4:$H$503,$G$4:$G$503,G225,$F$4:$F$503,"SOLD",$A$4:$A$503,"&lt;&gt;"&amp;A225),"OVER BUDGET","OK"),"INVALID TEAM"))))</f>
        <v/>
      </c>
      <c r="K225" s="1" t="str">
        <f>IF(F225="SOLD",COUNTIF($F$4:F225,"SOLD"),"")</f>
        <v/>
      </c>
      <c r="L225" s="1" t="str">
        <f>IF(F225="UNSOLD",COUNTIF($F$4:F225,"UNSOLD"),"")</f>
        <v/>
      </c>
      <c r="M225" s="1" t="str">
        <f>IF(AND(F225="SOLD",G225='Team View'!$B$3),COUNTIFS($F$4:F225,"SOLD",$G$4:G225,'Team View'!$B$3),"")</f>
        <v/>
      </c>
    </row>
    <row r="226" spans="1:13">
      <c r="A226" s="1" t="str">
        <f t="shared" si="3"/>
        <v/>
      </c>
      <c r="B226" s="1"/>
      <c r="C226" s="1"/>
      <c r="D226" s="1"/>
      <c r="E226" s="7"/>
      <c r="F226" s="1"/>
      <c r="G226" s="1"/>
      <c r="H226" s="7"/>
      <c r="I226" s="1"/>
      <c r="J226" s="1" t="str">
        <f>IF(B226="","",IF(F226&lt;&gt;"SOLD","",IF(OR(G226="",H226=""),"SELECT TEAM &amp; PRICE",IFERROR(IF(H226&gt;INDEX(Teams!$B$4:$B$13,MATCH(G226,Teams!$A$4:$A$13,0))-SUMIFS($H$4:$H$503,$G$4:$G$503,G226,$F$4:$F$503,"SOLD",$A$4:$A$503,"&lt;&gt;"&amp;A226),"OVER BUDGET","OK"),"INVALID TEAM"))))</f>
        <v/>
      </c>
      <c r="K226" s="1" t="str">
        <f>IF(F226="SOLD",COUNTIF($F$4:F226,"SOLD"),"")</f>
        <v/>
      </c>
      <c r="L226" s="1" t="str">
        <f>IF(F226="UNSOLD",COUNTIF($F$4:F226,"UNSOLD"),"")</f>
        <v/>
      </c>
      <c r="M226" s="1" t="str">
        <f>IF(AND(F226="SOLD",G226='Team View'!$B$3),COUNTIFS($F$4:F226,"SOLD",$G$4:G226,'Team View'!$B$3),"")</f>
        <v/>
      </c>
    </row>
    <row r="227" spans="1:13">
      <c r="A227" s="1" t="str">
        <f t="shared" si="3"/>
        <v/>
      </c>
      <c r="B227" s="1"/>
      <c r="C227" s="1"/>
      <c r="D227" s="1"/>
      <c r="E227" s="7"/>
      <c r="F227" s="1"/>
      <c r="G227" s="1"/>
      <c r="H227" s="7"/>
      <c r="I227" s="1"/>
      <c r="J227" s="1" t="str">
        <f>IF(B227="","",IF(F227&lt;&gt;"SOLD","",IF(OR(G227="",H227=""),"SELECT TEAM &amp; PRICE",IFERROR(IF(H227&gt;INDEX(Teams!$B$4:$B$13,MATCH(G227,Teams!$A$4:$A$13,0))-SUMIFS($H$4:$H$503,$G$4:$G$503,G227,$F$4:$F$503,"SOLD",$A$4:$A$503,"&lt;&gt;"&amp;A227),"OVER BUDGET","OK"),"INVALID TEAM"))))</f>
        <v/>
      </c>
      <c r="K227" s="1" t="str">
        <f>IF(F227="SOLD",COUNTIF($F$4:F227,"SOLD"),"")</f>
        <v/>
      </c>
      <c r="L227" s="1" t="str">
        <f>IF(F227="UNSOLD",COUNTIF($F$4:F227,"UNSOLD"),"")</f>
        <v/>
      </c>
      <c r="M227" s="1" t="str">
        <f>IF(AND(F227="SOLD",G227='Team View'!$B$3),COUNTIFS($F$4:F227,"SOLD",$G$4:G227,'Team View'!$B$3),"")</f>
        <v/>
      </c>
    </row>
    <row r="228" spans="1:13">
      <c r="A228" s="1" t="str">
        <f t="shared" si="3"/>
        <v/>
      </c>
      <c r="B228" s="1"/>
      <c r="C228" s="1"/>
      <c r="D228" s="1"/>
      <c r="E228" s="7"/>
      <c r="F228" s="1"/>
      <c r="G228" s="1"/>
      <c r="H228" s="7"/>
      <c r="I228" s="1"/>
      <c r="J228" s="1" t="str">
        <f>IF(B228="","",IF(F228&lt;&gt;"SOLD","",IF(OR(G228="",H228=""),"SELECT TEAM &amp; PRICE",IFERROR(IF(H228&gt;INDEX(Teams!$B$4:$B$13,MATCH(G228,Teams!$A$4:$A$13,0))-SUMIFS($H$4:$H$503,$G$4:$G$503,G228,$F$4:$F$503,"SOLD",$A$4:$A$503,"&lt;&gt;"&amp;A228),"OVER BUDGET","OK"),"INVALID TEAM"))))</f>
        <v/>
      </c>
      <c r="K228" s="1" t="str">
        <f>IF(F228="SOLD",COUNTIF($F$4:F228,"SOLD"),"")</f>
        <v/>
      </c>
      <c r="L228" s="1" t="str">
        <f>IF(F228="UNSOLD",COUNTIF($F$4:F228,"UNSOLD"),"")</f>
        <v/>
      </c>
      <c r="M228" s="1" t="str">
        <f>IF(AND(F228="SOLD",G228='Team View'!$B$3),COUNTIFS($F$4:F228,"SOLD",$G$4:G228,'Team View'!$B$3),"")</f>
        <v/>
      </c>
    </row>
    <row r="229" spans="1:13">
      <c r="A229" s="1" t="str">
        <f t="shared" si="3"/>
        <v/>
      </c>
      <c r="B229" s="1"/>
      <c r="C229" s="1"/>
      <c r="D229" s="1"/>
      <c r="E229" s="7"/>
      <c r="F229" s="1"/>
      <c r="G229" s="1"/>
      <c r="H229" s="7"/>
      <c r="I229" s="1"/>
      <c r="J229" s="1" t="str">
        <f>IF(B229="","",IF(F229&lt;&gt;"SOLD","",IF(OR(G229="",H229=""),"SELECT TEAM &amp; PRICE",IFERROR(IF(H229&gt;INDEX(Teams!$B$4:$B$13,MATCH(G229,Teams!$A$4:$A$13,0))-SUMIFS($H$4:$H$503,$G$4:$G$503,G229,$F$4:$F$503,"SOLD",$A$4:$A$503,"&lt;&gt;"&amp;A229),"OVER BUDGET","OK"),"INVALID TEAM"))))</f>
        <v/>
      </c>
      <c r="K229" s="1" t="str">
        <f>IF(F229="SOLD",COUNTIF($F$4:F229,"SOLD"),"")</f>
        <v/>
      </c>
      <c r="L229" s="1" t="str">
        <f>IF(F229="UNSOLD",COUNTIF($F$4:F229,"UNSOLD"),"")</f>
        <v/>
      </c>
      <c r="M229" s="1" t="str">
        <f>IF(AND(F229="SOLD",G229='Team View'!$B$3),COUNTIFS($F$4:F229,"SOLD",$G$4:G229,'Team View'!$B$3),"")</f>
        <v/>
      </c>
    </row>
    <row r="230" spans="1:13">
      <c r="A230" s="1" t="str">
        <f t="shared" si="3"/>
        <v/>
      </c>
      <c r="B230" s="1"/>
      <c r="C230" s="1"/>
      <c r="D230" s="1"/>
      <c r="E230" s="7"/>
      <c r="F230" s="1"/>
      <c r="G230" s="1"/>
      <c r="H230" s="7"/>
      <c r="I230" s="1"/>
      <c r="J230" s="1" t="str">
        <f>IF(B230="","",IF(F230&lt;&gt;"SOLD","",IF(OR(G230="",H230=""),"SELECT TEAM &amp; PRICE",IFERROR(IF(H230&gt;INDEX(Teams!$B$4:$B$13,MATCH(G230,Teams!$A$4:$A$13,0))-SUMIFS($H$4:$H$503,$G$4:$G$503,G230,$F$4:$F$503,"SOLD",$A$4:$A$503,"&lt;&gt;"&amp;A230),"OVER BUDGET","OK"),"INVALID TEAM"))))</f>
        <v/>
      </c>
      <c r="K230" s="1" t="str">
        <f>IF(F230="SOLD",COUNTIF($F$4:F230,"SOLD"),"")</f>
        <v/>
      </c>
      <c r="L230" s="1" t="str">
        <f>IF(F230="UNSOLD",COUNTIF($F$4:F230,"UNSOLD"),"")</f>
        <v/>
      </c>
      <c r="M230" s="1" t="str">
        <f>IF(AND(F230="SOLD",G230='Team View'!$B$3),COUNTIFS($F$4:F230,"SOLD",$G$4:G230,'Team View'!$B$3),"")</f>
        <v/>
      </c>
    </row>
    <row r="231" spans="1:13">
      <c r="A231" s="1" t="str">
        <f t="shared" si="3"/>
        <v/>
      </c>
      <c r="B231" s="1"/>
      <c r="C231" s="1"/>
      <c r="D231" s="1"/>
      <c r="E231" s="7"/>
      <c r="F231" s="1"/>
      <c r="G231" s="1"/>
      <c r="H231" s="7"/>
      <c r="I231" s="1"/>
      <c r="J231" s="1" t="str">
        <f>IF(B231="","",IF(F231&lt;&gt;"SOLD","",IF(OR(G231="",H231=""),"SELECT TEAM &amp; PRICE",IFERROR(IF(H231&gt;INDEX(Teams!$B$4:$B$13,MATCH(G231,Teams!$A$4:$A$13,0))-SUMIFS($H$4:$H$503,$G$4:$G$503,G231,$F$4:$F$503,"SOLD",$A$4:$A$503,"&lt;&gt;"&amp;A231),"OVER BUDGET","OK"),"INVALID TEAM"))))</f>
        <v/>
      </c>
      <c r="K231" s="1" t="str">
        <f>IF(F231="SOLD",COUNTIF($F$4:F231,"SOLD"),"")</f>
        <v/>
      </c>
      <c r="L231" s="1" t="str">
        <f>IF(F231="UNSOLD",COUNTIF($F$4:F231,"UNSOLD"),"")</f>
        <v/>
      </c>
      <c r="M231" s="1" t="str">
        <f>IF(AND(F231="SOLD",G231='Team View'!$B$3),COUNTIFS($F$4:F231,"SOLD",$G$4:G231,'Team View'!$B$3),"")</f>
        <v/>
      </c>
    </row>
    <row r="232" spans="1:13">
      <c r="A232" s="1" t="str">
        <f t="shared" si="3"/>
        <v/>
      </c>
      <c r="B232" s="1"/>
      <c r="C232" s="1"/>
      <c r="D232" s="1"/>
      <c r="E232" s="7"/>
      <c r="F232" s="1"/>
      <c r="G232" s="1"/>
      <c r="H232" s="7"/>
      <c r="I232" s="1"/>
      <c r="J232" s="1" t="str">
        <f>IF(B232="","",IF(F232&lt;&gt;"SOLD","",IF(OR(G232="",H232=""),"SELECT TEAM &amp; PRICE",IFERROR(IF(H232&gt;INDEX(Teams!$B$4:$B$13,MATCH(G232,Teams!$A$4:$A$13,0))-SUMIFS($H$4:$H$503,$G$4:$G$503,G232,$F$4:$F$503,"SOLD",$A$4:$A$503,"&lt;&gt;"&amp;A232),"OVER BUDGET","OK"),"INVALID TEAM"))))</f>
        <v/>
      </c>
      <c r="K232" s="1" t="str">
        <f>IF(F232="SOLD",COUNTIF($F$4:F232,"SOLD"),"")</f>
        <v/>
      </c>
      <c r="L232" s="1" t="str">
        <f>IF(F232="UNSOLD",COUNTIF($F$4:F232,"UNSOLD"),"")</f>
        <v/>
      </c>
      <c r="M232" s="1" t="str">
        <f>IF(AND(F232="SOLD",G232='Team View'!$B$3),COUNTIFS($F$4:F232,"SOLD",$G$4:G232,'Team View'!$B$3),"")</f>
        <v/>
      </c>
    </row>
    <row r="233" spans="1:13">
      <c r="A233" s="1" t="str">
        <f t="shared" si="3"/>
        <v/>
      </c>
      <c r="B233" s="1"/>
      <c r="C233" s="1"/>
      <c r="D233" s="1"/>
      <c r="E233" s="7"/>
      <c r="F233" s="1"/>
      <c r="G233" s="1"/>
      <c r="H233" s="7"/>
      <c r="I233" s="1"/>
      <c r="J233" s="1" t="str">
        <f>IF(B233="","",IF(F233&lt;&gt;"SOLD","",IF(OR(G233="",H233=""),"SELECT TEAM &amp; PRICE",IFERROR(IF(H233&gt;INDEX(Teams!$B$4:$B$13,MATCH(G233,Teams!$A$4:$A$13,0))-SUMIFS($H$4:$H$503,$G$4:$G$503,G233,$F$4:$F$503,"SOLD",$A$4:$A$503,"&lt;&gt;"&amp;A233),"OVER BUDGET","OK"),"INVALID TEAM"))))</f>
        <v/>
      </c>
      <c r="K233" s="1" t="str">
        <f>IF(F233="SOLD",COUNTIF($F$4:F233,"SOLD"),"")</f>
        <v/>
      </c>
      <c r="L233" s="1" t="str">
        <f>IF(F233="UNSOLD",COUNTIF($F$4:F233,"UNSOLD"),"")</f>
        <v/>
      </c>
      <c r="M233" s="1" t="str">
        <f>IF(AND(F233="SOLD",G233='Team View'!$B$3),COUNTIFS($F$4:F233,"SOLD",$G$4:G233,'Team View'!$B$3),"")</f>
        <v/>
      </c>
    </row>
    <row r="234" spans="1:13">
      <c r="A234" s="1" t="str">
        <f t="shared" si="3"/>
        <v/>
      </c>
      <c r="B234" s="1"/>
      <c r="C234" s="1"/>
      <c r="D234" s="1"/>
      <c r="E234" s="7"/>
      <c r="F234" s="1"/>
      <c r="G234" s="1"/>
      <c r="H234" s="7"/>
      <c r="I234" s="1"/>
      <c r="J234" s="1" t="str">
        <f>IF(B234="","",IF(F234&lt;&gt;"SOLD","",IF(OR(G234="",H234=""),"SELECT TEAM &amp; PRICE",IFERROR(IF(H234&gt;INDEX(Teams!$B$4:$B$13,MATCH(G234,Teams!$A$4:$A$13,0))-SUMIFS($H$4:$H$503,$G$4:$G$503,G234,$F$4:$F$503,"SOLD",$A$4:$A$503,"&lt;&gt;"&amp;A234),"OVER BUDGET","OK"),"INVALID TEAM"))))</f>
        <v/>
      </c>
      <c r="K234" s="1" t="str">
        <f>IF(F234="SOLD",COUNTIF($F$4:F234,"SOLD"),"")</f>
        <v/>
      </c>
      <c r="L234" s="1" t="str">
        <f>IF(F234="UNSOLD",COUNTIF($F$4:F234,"UNSOLD"),"")</f>
        <v/>
      </c>
      <c r="M234" s="1" t="str">
        <f>IF(AND(F234="SOLD",G234='Team View'!$B$3),COUNTIFS($F$4:F234,"SOLD",$G$4:G234,'Team View'!$B$3),"")</f>
        <v/>
      </c>
    </row>
    <row r="235" spans="1:13">
      <c r="A235" s="1" t="str">
        <f t="shared" si="3"/>
        <v/>
      </c>
      <c r="B235" s="1"/>
      <c r="C235" s="1"/>
      <c r="D235" s="1"/>
      <c r="E235" s="7"/>
      <c r="F235" s="1"/>
      <c r="G235" s="1"/>
      <c r="H235" s="7"/>
      <c r="I235" s="1"/>
      <c r="J235" s="1" t="str">
        <f>IF(B235="","",IF(F235&lt;&gt;"SOLD","",IF(OR(G235="",H235=""),"SELECT TEAM &amp; PRICE",IFERROR(IF(H235&gt;INDEX(Teams!$B$4:$B$13,MATCH(G235,Teams!$A$4:$A$13,0))-SUMIFS($H$4:$H$503,$G$4:$G$503,G235,$F$4:$F$503,"SOLD",$A$4:$A$503,"&lt;&gt;"&amp;A235),"OVER BUDGET","OK"),"INVALID TEAM"))))</f>
        <v/>
      </c>
      <c r="K235" s="1" t="str">
        <f>IF(F235="SOLD",COUNTIF($F$4:F235,"SOLD"),"")</f>
        <v/>
      </c>
      <c r="L235" s="1" t="str">
        <f>IF(F235="UNSOLD",COUNTIF($F$4:F235,"UNSOLD"),"")</f>
        <v/>
      </c>
      <c r="M235" s="1" t="str">
        <f>IF(AND(F235="SOLD",G235='Team View'!$B$3),COUNTIFS($F$4:F235,"SOLD",$G$4:G235,'Team View'!$B$3),"")</f>
        <v/>
      </c>
    </row>
    <row r="236" spans="1:13">
      <c r="A236" s="1" t="str">
        <f t="shared" si="3"/>
        <v/>
      </c>
      <c r="B236" s="1"/>
      <c r="C236" s="1"/>
      <c r="D236" s="1"/>
      <c r="E236" s="7"/>
      <c r="F236" s="1"/>
      <c r="G236" s="1"/>
      <c r="H236" s="7"/>
      <c r="I236" s="1"/>
      <c r="J236" s="1" t="str">
        <f>IF(B236="","",IF(F236&lt;&gt;"SOLD","",IF(OR(G236="",H236=""),"SELECT TEAM &amp; PRICE",IFERROR(IF(H236&gt;INDEX(Teams!$B$4:$B$13,MATCH(G236,Teams!$A$4:$A$13,0))-SUMIFS($H$4:$H$503,$G$4:$G$503,G236,$F$4:$F$503,"SOLD",$A$4:$A$503,"&lt;&gt;"&amp;A236),"OVER BUDGET","OK"),"INVALID TEAM"))))</f>
        <v/>
      </c>
      <c r="K236" s="1" t="str">
        <f>IF(F236="SOLD",COUNTIF($F$4:F236,"SOLD"),"")</f>
        <v/>
      </c>
      <c r="L236" s="1" t="str">
        <f>IF(F236="UNSOLD",COUNTIF($F$4:F236,"UNSOLD"),"")</f>
        <v/>
      </c>
      <c r="M236" s="1" t="str">
        <f>IF(AND(F236="SOLD",G236='Team View'!$B$3),COUNTIFS($F$4:F236,"SOLD",$G$4:G236,'Team View'!$B$3),"")</f>
        <v/>
      </c>
    </row>
    <row r="237" spans="1:13">
      <c r="A237" s="1" t="str">
        <f t="shared" si="3"/>
        <v/>
      </c>
      <c r="B237" s="1"/>
      <c r="C237" s="1"/>
      <c r="D237" s="1"/>
      <c r="E237" s="7"/>
      <c r="F237" s="1"/>
      <c r="G237" s="1"/>
      <c r="H237" s="7"/>
      <c r="I237" s="1"/>
      <c r="J237" s="1" t="str">
        <f>IF(B237="","",IF(F237&lt;&gt;"SOLD","",IF(OR(G237="",H237=""),"SELECT TEAM &amp; PRICE",IFERROR(IF(H237&gt;INDEX(Teams!$B$4:$B$13,MATCH(G237,Teams!$A$4:$A$13,0))-SUMIFS($H$4:$H$503,$G$4:$G$503,G237,$F$4:$F$503,"SOLD",$A$4:$A$503,"&lt;&gt;"&amp;A237),"OVER BUDGET","OK"),"INVALID TEAM"))))</f>
        <v/>
      </c>
      <c r="K237" s="1" t="str">
        <f>IF(F237="SOLD",COUNTIF($F$4:F237,"SOLD"),"")</f>
        <v/>
      </c>
      <c r="L237" s="1" t="str">
        <f>IF(F237="UNSOLD",COUNTIF($F$4:F237,"UNSOLD"),"")</f>
        <v/>
      </c>
      <c r="M237" s="1" t="str">
        <f>IF(AND(F237="SOLD",G237='Team View'!$B$3),COUNTIFS($F$4:F237,"SOLD",$G$4:G237,'Team View'!$B$3),"")</f>
        <v/>
      </c>
    </row>
    <row r="238" spans="1:13">
      <c r="A238" s="1" t="str">
        <f t="shared" si="3"/>
        <v/>
      </c>
      <c r="B238" s="1"/>
      <c r="C238" s="1"/>
      <c r="D238" s="1"/>
      <c r="E238" s="7"/>
      <c r="F238" s="1"/>
      <c r="G238" s="1"/>
      <c r="H238" s="7"/>
      <c r="I238" s="1"/>
      <c r="J238" s="1" t="str">
        <f>IF(B238="","",IF(F238&lt;&gt;"SOLD","",IF(OR(G238="",H238=""),"SELECT TEAM &amp; PRICE",IFERROR(IF(H238&gt;INDEX(Teams!$B$4:$B$13,MATCH(G238,Teams!$A$4:$A$13,0))-SUMIFS($H$4:$H$503,$G$4:$G$503,G238,$F$4:$F$503,"SOLD",$A$4:$A$503,"&lt;&gt;"&amp;A238),"OVER BUDGET","OK"),"INVALID TEAM"))))</f>
        <v/>
      </c>
      <c r="K238" s="1" t="str">
        <f>IF(F238="SOLD",COUNTIF($F$4:F238,"SOLD"),"")</f>
        <v/>
      </c>
      <c r="L238" s="1" t="str">
        <f>IF(F238="UNSOLD",COUNTIF($F$4:F238,"UNSOLD"),"")</f>
        <v/>
      </c>
      <c r="M238" s="1" t="str">
        <f>IF(AND(F238="SOLD",G238='Team View'!$B$3),COUNTIFS($F$4:F238,"SOLD",$G$4:G238,'Team View'!$B$3),"")</f>
        <v/>
      </c>
    </row>
    <row r="239" spans="1:13">
      <c r="A239" s="1" t="str">
        <f t="shared" si="3"/>
        <v/>
      </c>
      <c r="B239" s="1"/>
      <c r="C239" s="1"/>
      <c r="D239" s="1"/>
      <c r="E239" s="7"/>
      <c r="F239" s="1"/>
      <c r="G239" s="1"/>
      <c r="H239" s="7"/>
      <c r="I239" s="1"/>
      <c r="J239" s="1" t="str">
        <f>IF(B239="","",IF(F239&lt;&gt;"SOLD","",IF(OR(G239="",H239=""),"SELECT TEAM &amp; PRICE",IFERROR(IF(H239&gt;INDEX(Teams!$B$4:$B$13,MATCH(G239,Teams!$A$4:$A$13,0))-SUMIFS($H$4:$H$503,$G$4:$G$503,G239,$F$4:$F$503,"SOLD",$A$4:$A$503,"&lt;&gt;"&amp;A239),"OVER BUDGET","OK"),"INVALID TEAM"))))</f>
        <v/>
      </c>
      <c r="K239" s="1" t="str">
        <f>IF(F239="SOLD",COUNTIF($F$4:F239,"SOLD"),"")</f>
        <v/>
      </c>
      <c r="L239" s="1" t="str">
        <f>IF(F239="UNSOLD",COUNTIF($F$4:F239,"UNSOLD"),"")</f>
        <v/>
      </c>
      <c r="M239" s="1" t="str">
        <f>IF(AND(F239="SOLD",G239='Team View'!$B$3),COUNTIFS($F$4:F239,"SOLD",$G$4:G239,'Team View'!$B$3),"")</f>
        <v/>
      </c>
    </row>
    <row r="240" spans="1:13">
      <c r="A240" s="1" t="str">
        <f t="shared" si="3"/>
        <v/>
      </c>
      <c r="B240" s="1"/>
      <c r="C240" s="1"/>
      <c r="D240" s="1"/>
      <c r="E240" s="7"/>
      <c r="F240" s="1"/>
      <c r="G240" s="1"/>
      <c r="H240" s="7"/>
      <c r="I240" s="1"/>
      <c r="J240" s="1" t="str">
        <f>IF(B240="","",IF(F240&lt;&gt;"SOLD","",IF(OR(G240="",H240=""),"SELECT TEAM &amp; PRICE",IFERROR(IF(H240&gt;INDEX(Teams!$B$4:$B$13,MATCH(G240,Teams!$A$4:$A$13,0))-SUMIFS($H$4:$H$503,$G$4:$G$503,G240,$F$4:$F$503,"SOLD",$A$4:$A$503,"&lt;&gt;"&amp;A240),"OVER BUDGET","OK"),"INVALID TEAM"))))</f>
        <v/>
      </c>
      <c r="K240" s="1" t="str">
        <f>IF(F240="SOLD",COUNTIF($F$4:F240,"SOLD"),"")</f>
        <v/>
      </c>
      <c r="L240" s="1" t="str">
        <f>IF(F240="UNSOLD",COUNTIF($F$4:F240,"UNSOLD"),"")</f>
        <v/>
      </c>
      <c r="M240" s="1" t="str">
        <f>IF(AND(F240="SOLD",G240='Team View'!$B$3),COUNTIFS($F$4:F240,"SOLD",$G$4:G240,'Team View'!$B$3),"")</f>
        <v/>
      </c>
    </row>
    <row r="241" spans="1:13">
      <c r="A241" s="1" t="str">
        <f t="shared" si="3"/>
        <v/>
      </c>
      <c r="B241" s="1"/>
      <c r="C241" s="1"/>
      <c r="D241" s="1"/>
      <c r="E241" s="7"/>
      <c r="F241" s="1"/>
      <c r="G241" s="1"/>
      <c r="H241" s="7"/>
      <c r="I241" s="1"/>
      <c r="J241" s="1" t="str">
        <f>IF(B241="","",IF(F241&lt;&gt;"SOLD","",IF(OR(G241="",H241=""),"SELECT TEAM &amp; PRICE",IFERROR(IF(H241&gt;INDEX(Teams!$B$4:$B$13,MATCH(G241,Teams!$A$4:$A$13,0))-SUMIFS($H$4:$H$503,$G$4:$G$503,G241,$F$4:$F$503,"SOLD",$A$4:$A$503,"&lt;&gt;"&amp;A241),"OVER BUDGET","OK"),"INVALID TEAM"))))</f>
        <v/>
      </c>
      <c r="K241" s="1" t="str">
        <f>IF(F241="SOLD",COUNTIF($F$4:F241,"SOLD"),"")</f>
        <v/>
      </c>
      <c r="L241" s="1" t="str">
        <f>IF(F241="UNSOLD",COUNTIF($F$4:F241,"UNSOLD"),"")</f>
        <v/>
      </c>
      <c r="M241" s="1" t="str">
        <f>IF(AND(F241="SOLD",G241='Team View'!$B$3),COUNTIFS($F$4:F241,"SOLD",$G$4:G241,'Team View'!$B$3),"")</f>
        <v/>
      </c>
    </row>
    <row r="242" spans="1:13">
      <c r="A242" s="1" t="str">
        <f t="shared" si="3"/>
        <v/>
      </c>
      <c r="B242" s="1"/>
      <c r="C242" s="1"/>
      <c r="D242" s="1"/>
      <c r="E242" s="7"/>
      <c r="F242" s="1"/>
      <c r="G242" s="1"/>
      <c r="H242" s="7"/>
      <c r="I242" s="1"/>
      <c r="J242" s="1" t="str">
        <f>IF(B242="","",IF(F242&lt;&gt;"SOLD","",IF(OR(G242="",H242=""),"SELECT TEAM &amp; PRICE",IFERROR(IF(H242&gt;INDEX(Teams!$B$4:$B$13,MATCH(G242,Teams!$A$4:$A$13,0))-SUMIFS($H$4:$H$503,$G$4:$G$503,G242,$F$4:$F$503,"SOLD",$A$4:$A$503,"&lt;&gt;"&amp;A242),"OVER BUDGET","OK"),"INVALID TEAM"))))</f>
        <v/>
      </c>
      <c r="K242" s="1" t="str">
        <f>IF(F242="SOLD",COUNTIF($F$4:F242,"SOLD"),"")</f>
        <v/>
      </c>
      <c r="L242" s="1" t="str">
        <f>IF(F242="UNSOLD",COUNTIF($F$4:F242,"UNSOLD"),"")</f>
        <v/>
      </c>
      <c r="M242" s="1" t="str">
        <f>IF(AND(F242="SOLD",G242='Team View'!$B$3),COUNTIFS($F$4:F242,"SOLD",$G$4:G242,'Team View'!$B$3),"")</f>
        <v/>
      </c>
    </row>
    <row r="243" spans="1:13">
      <c r="A243" s="1" t="str">
        <f t="shared" si="3"/>
        <v/>
      </c>
      <c r="B243" s="1"/>
      <c r="C243" s="1"/>
      <c r="D243" s="1"/>
      <c r="E243" s="7"/>
      <c r="F243" s="1"/>
      <c r="G243" s="1"/>
      <c r="H243" s="7"/>
      <c r="I243" s="1"/>
      <c r="J243" s="1" t="str">
        <f>IF(B243="","",IF(F243&lt;&gt;"SOLD","",IF(OR(G243="",H243=""),"SELECT TEAM &amp; PRICE",IFERROR(IF(H243&gt;INDEX(Teams!$B$4:$B$13,MATCH(G243,Teams!$A$4:$A$13,0))-SUMIFS($H$4:$H$503,$G$4:$G$503,G243,$F$4:$F$503,"SOLD",$A$4:$A$503,"&lt;&gt;"&amp;A243),"OVER BUDGET","OK"),"INVALID TEAM"))))</f>
        <v/>
      </c>
      <c r="K243" s="1" t="str">
        <f>IF(F243="SOLD",COUNTIF($F$4:F243,"SOLD"),"")</f>
        <v/>
      </c>
      <c r="L243" s="1" t="str">
        <f>IF(F243="UNSOLD",COUNTIF($F$4:F243,"UNSOLD"),"")</f>
        <v/>
      </c>
      <c r="M243" s="1" t="str">
        <f>IF(AND(F243="SOLD",G243='Team View'!$B$3),COUNTIFS($F$4:F243,"SOLD",$G$4:G243,'Team View'!$B$3),"")</f>
        <v/>
      </c>
    </row>
    <row r="244" spans="1:13">
      <c r="A244" s="1" t="str">
        <f t="shared" si="3"/>
        <v/>
      </c>
      <c r="B244" s="1"/>
      <c r="C244" s="1"/>
      <c r="D244" s="1"/>
      <c r="E244" s="7"/>
      <c r="F244" s="1"/>
      <c r="G244" s="1"/>
      <c r="H244" s="7"/>
      <c r="I244" s="1"/>
      <c r="J244" s="1" t="str">
        <f>IF(B244="","",IF(F244&lt;&gt;"SOLD","",IF(OR(G244="",H244=""),"SELECT TEAM &amp; PRICE",IFERROR(IF(H244&gt;INDEX(Teams!$B$4:$B$13,MATCH(G244,Teams!$A$4:$A$13,0))-SUMIFS($H$4:$H$503,$G$4:$G$503,G244,$F$4:$F$503,"SOLD",$A$4:$A$503,"&lt;&gt;"&amp;A244),"OVER BUDGET","OK"),"INVALID TEAM"))))</f>
        <v/>
      </c>
      <c r="K244" s="1" t="str">
        <f>IF(F244="SOLD",COUNTIF($F$4:F244,"SOLD"),"")</f>
        <v/>
      </c>
      <c r="L244" s="1" t="str">
        <f>IF(F244="UNSOLD",COUNTIF($F$4:F244,"UNSOLD"),"")</f>
        <v/>
      </c>
      <c r="M244" s="1" t="str">
        <f>IF(AND(F244="SOLD",G244='Team View'!$B$3),COUNTIFS($F$4:F244,"SOLD",$G$4:G244,'Team View'!$B$3),"")</f>
        <v/>
      </c>
    </row>
    <row r="245" spans="1:13">
      <c r="A245" s="1" t="str">
        <f t="shared" si="3"/>
        <v/>
      </c>
      <c r="B245" s="1"/>
      <c r="C245" s="1"/>
      <c r="D245" s="1"/>
      <c r="E245" s="7"/>
      <c r="F245" s="1"/>
      <c r="G245" s="1"/>
      <c r="H245" s="7"/>
      <c r="I245" s="1"/>
      <c r="J245" s="1" t="str">
        <f>IF(B245="","",IF(F245&lt;&gt;"SOLD","",IF(OR(G245="",H245=""),"SELECT TEAM &amp; PRICE",IFERROR(IF(H245&gt;INDEX(Teams!$B$4:$B$13,MATCH(G245,Teams!$A$4:$A$13,0))-SUMIFS($H$4:$H$503,$G$4:$G$503,G245,$F$4:$F$503,"SOLD",$A$4:$A$503,"&lt;&gt;"&amp;A245),"OVER BUDGET","OK"),"INVALID TEAM"))))</f>
        <v/>
      </c>
      <c r="K245" s="1" t="str">
        <f>IF(F245="SOLD",COUNTIF($F$4:F245,"SOLD"),"")</f>
        <v/>
      </c>
      <c r="L245" s="1" t="str">
        <f>IF(F245="UNSOLD",COUNTIF($F$4:F245,"UNSOLD"),"")</f>
        <v/>
      </c>
      <c r="M245" s="1" t="str">
        <f>IF(AND(F245="SOLD",G245='Team View'!$B$3),COUNTIFS($F$4:F245,"SOLD",$G$4:G245,'Team View'!$B$3),"")</f>
        <v/>
      </c>
    </row>
    <row r="246" spans="1:13">
      <c r="A246" s="1" t="str">
        <f t="shared" si="3"/>
        <v/>
      </c>
      <c r="B246" s="1"/>
      <c r="C246" s="1"/>
      <c r="D246" s="1"/>
      <c r="E246" s="7"/>
      <c r="F246" s="1"/>
      <c r="G246" s="1"/>
      <c r="H246" s="7"/>
      <c r="I246" s="1"/>
      <c r="J246" s="1" t="str">
        <f>IF(B246="","",IF(F246&lt;&gt;"SOLD","",IF(OR(G246="",H246=""),"SELECT TEAM &amp; PRICE",IFERROR(IF(H246&gt;INDEX(Teams!$B$4:$B$13,MATCH(G246,Teams!$A$4:$A$13,0))-SUMIFS($H$4:$H$503,$G$4:$G$503,G246,$F$4:$F$503,"SOLD",$A$4:$A$503,"&lt;&gt;"&amp;A246),"OVER BUDGET","OK"),"INVALID TEAM"))))</f>
        <v/>
      </c>
      <c r="K246" s="1" t="str">
        <f>IF(F246="SOLD",COUNTIF($F$4:F246,"SOLD"),"")</f>
        <v/>
      </c>
      <c r="L246" s="1" t="str">
        <f>IF(F246="UNSOLD",COUNTIF($F$4:F246,"UNSOLD"),"")</f>
        <v/>
      </c>
      <c r="M246" s="1" t="str">
        <f>IF(AND(F246="SOLD",G246='Team View'!$B$3),COUNTIFS($F$4:F246,"SOLD",$G$4:G246,'Team View'!$B$3),"")</f>
        <v/>
      </c>
    </row>
    <row r="247" spans="1:13">
      <c r="A247" s="1" t="str">
        <f t="shared" si="3"/>
        <v/>
      </c>
      <c r="B247" s="1"/>
      <c r="C247" s="1"/>
      <c r="D247" s="1"/>
      <c r="E247" s="7"/>
      <c r="F247" s="1"/>
      <c r="G247" s="1"/>
      <c r="H247" s="7"/>
      <c r="I247" s="1"/>
      <c r="J247" s="1" t="str">
        <f>IF(B247="","",IF(F247&lt;&gt;"SOLD","",IF(OR(G247="",H247=""),"SELECT TEAM &amp; PRICE",IFERROR(IF(H247&gt;INDEX(Teams!$B$4:$B$13,MATCH(G247,Teams!$A$4:$A$13,0))-SUMIFS($H$4:$H$503,$G$4:$G$503,G247,$F$4:$F$503,"SOLD",$A$4:$A$503,"&lt;&gt;"&amp;A247),"OVER BUDGET","OK"),"INVALID TEAM"))))</f>
        <v/>
      </c>
      <c r="K247" s="1" t="str">
        <f>IF(F247="SOLD",COUNTIF($F$4:F247,"SOLD"),"")</f>
        <v/>
      </c>
      <c r="L247" s="1" t="str">
        <f>IF(F247="UNSOLD",COUNTIF($F$4:F247,"UNSOLD"),"")</f>
        <v/>
      </c>
      <c r="M247" s="1" t="str">
        <f>IF(AND(F247="SOLD",G247='Team View'!$B$3),COUNTIFS($F$4:F247,"SOLD",$G$4:G247,'Team View'!$B$3),"")</f>
        <v/>
      </c>
    </row>
    <row r="248" spans="1:13">
      <c r="A248" s="1" t="str">
        <f t="shared" si="3"/>
        <v/>
      </c>
      <c r="B248" s="1"/>
      <c r="C248" s="1"/>
      <c r="D248" s="1"/>
      <c r="E248" s="7"/>
      <c r="F248" s="1"/>
      <c r="G248" s="1"/>
      <c r="H248" s="7"/>
      <c r="I248" s="1"/>
      <c r="J248" s="1" t="str">
        <f>IF(B248="","",IF(F248&lt;&gt;"SOLD","",IF(OR(G248="",H248=""),"SELECT TEAM &amp; PRICE",IFERROR(IF(H248&gt;INDEX(Teams!$B$4:$B$13,MATCH(G248,Teams!$A$4:$A$13,0))-SUMIFS($H$4:$H$503,$G$4:$G$503,G248,$F$4:$F$503,"SOLD",$A$4:$A$503,"&lt;&gt;"&amp;A248),"OVER BUDGET","OK"),"INVALID TEAM"))))</f>
        <v/>
      </c>
      <c r="K248" s="1" t="str">
        <f>IF(F248="SOLD",COUNTIF($F$4:F248,"SOLD"),"")</f>
        <v/>
      </c>
      <c r="L248" s="1" t="str">
        <f>IF(F248="UNSOLD",COUNTIF($F$4:F248,"UNSOLD"),"")</f>
        <v/>
      </c>
      <c r="M248" s="1" t="str">
        <f>IF(AND(F248="SOLD",G248='Team View'!$B$3),COUNTIFS($F$4:F248,"SOLD",$G$4:G248,'Team View'!$B$3),"")</f>
        <v/>
      </c>
    </row>
    <row r="249" spans="1:13">
      <c r="A249" s="1" t="str">
        <f t="shared" si="3"/>
        <v/>
      </c>
      <c r="B249" s="1"/>
      <c r="C249" s="1"/>
      <c r="D249" s="1"/>
      <c r="E249" s="7"/>
      <c r="F249" s="1"/>
      <c r="G249" s="1"/>
      <c r="H249" s="7"/>
      <c r="I249" s="1"/>
      <c r="J249" s="1" t="str">
        <f>IF(B249="","",IF(F249&lt;&gt;"SOLD","",IF(OR(G249="",H249=""),"SELECT TEAM &amp; PRICE",IFERROR(IF(H249&gt;INDEX(Teams!$B$4:$B$13,MATCH(G249,Teams!$A$4:$A$13,0))-SUMIFS($H$4:$H$503,$G$4:$G$503,G249,$F$4:$F$503,"SOLD",$A$4:$A$503,"&lt;&gt;"&amp;A249),"OVER BUDGET","OK"),"INVALID TEAM"))))</f>
        <v/>
      </c>
      <c r="K249" s="1" t="str">
        <f>IF(F249="SOLD",COUNTIF($F$4:F249,"SOLD"),"")</f>
        <v/>
      </c>
      <c r="L249" s="1" t="str">
        <f>IF(F249="UNSOLD",COUNTIF($F$4:F249,"UNSOLD"),"")</f>
        <v/>
      </c>
      <c r="M249" s="1" t="str">
        <f>IF(AND(F249="SOLD",G249='Team View'!$B$3),COUNTIFS($F$4:F249,"SOLD",$G$4:G249,'Team View'!$B$3),"")</f>
        <v/>
      </c>
    </row>
    <row r="250" spans="1:13">
      <c r="A250" s="1" t="str">
        <f t="shared" si="3"/>
        <v/>
      </c>
      <c r="B250" s="1"/>
      <c r="C250" s="1"/>
      <c r="D250" s="1"/>
      <c r="E250" s="7"/>
      <c r="F250" s="1"/>
      <c r="G250" s="1"/>
      <c r="H250" s="7"/>
      <c r="I250" s="1"/>
      <c r="J250" s="1" t="str">
        <f>IF(B250="","",IF(F250&lt;&gt;"SOLD","",IF(OR(G250="",H250=""),"SELECT TEAM &amp; PRICE",IFERROR(IF(H250&gt;INDEX(Teams!$B$4:$B$13,MATCH(G250,Teams!$A$4:$A$13,0))-SUMIFS($H$4:$H$503,$G$4:$G$503,G250,$F$4:$F$503,"SOLD",$A$4:$A$503,"&lt;&gt;"&amp;A250),"OVER BUDGET","OK"),"INVALID TEAM"))))</f>
        <v/>
      </c>
      <c r="K250" s="1" t="str">
        <f>IF(F250="SOLD",COUNTIF($F$4:F250,"SOLD"),"")</f>
        <v/>
      </c>
      <c r="L250" s="1" t="str">
        <f>IF(F250="UNSOLD",COUNTIF($F$4:F250,"UNSOLD"),"")</f>
        <v/>
      </c>
      <c r="M250" s="1" t="str">
        <f>IF(AND(F250="SOLD",G250='Team View'!$B$3),COUNTIFS($F$4:F250,"SOLD",$G$4:G250,'Team View'!$B$3),"")</f>
        <v/>
      </c>
    </row>
    <row r="251" spans="1:13">
      <c r="A251" s="1" t="str">
        <f t="shared" si="3"/>
        <v/>
      </c>
      <c r="B251" s="1"/>
      <c r="C251" s="1"/>
      <c r="D251" s="1"/>
      <c r="E251" s="7"/>
      <c r="F251" s="1"/>
      <c r="G251" s="1"/>
      <c r="H251" s="7"/>
      <c r="I251" s="1"/>
      <c r="J251" s="1" t="str">
        <f>IF(B251="","",IF(F251&lt;&gt;"SOLD","",IF(OR(G251="",H251=""),"SELECT TEAM &amp; PRICE",IFERROR(IF(H251&gt;INDEX(Teams!$B$4:$B$13,MATCH(G251,Teams!$A$4:$A$13,0))-SUMIFS($H$4:$H$503,$G$4:$G$503,G251,$F$4:$F$503,"SOLD",$A$4:$A$503,"&lt;&gt;"&amp;A251),"OVER BUDGET","OK"),"INVALID TEAM"))))</f>
        <v/>
      </c>
      <c r="K251" s="1" t="str">
        <f>IF(F251="SOLD",COUNTIF($F$4:F251,"SOLD"),"")</f>
        <v/>
      </c>
      <c r="L251" s="1" t="str">
        <f>IF(F251="UNSOLD",COUNTIF($F$4:F251,"UNSOLD"),"")</f>
        <v/>
      </c>
      <c r="M251" s="1" t="str">
        <f>IF(AND(F251="SOLD",G251='Team View'!$B$3),COUNTIFS($F$4:F251,"SOLD",$G$4:G251,'Team View'!$B$3),"")</f>
        <v/>
      </c>
    </row>
    <row r="252" spans="1:13">
      <c r="A252" s="1" t="str">
        <f t="shared" si="3"/>
        <v/>
      </c>
      <c r="B252" s="1"/>
      <c r="C252" s="1"/>
      <c r="D252" s="1"/>
      <c r="E252" s="7"/>
      <c r="F252" s="1"/>
      <c r="G252" s="1"/>
      <c r="H252" s="7"/>
      <c r="I252" s="1"/>
      <c r="J252" s="1" t="str">
        <f>IF(B252="","",IF(F252&lt;&gt;"SOLD","",IF(OR(G252="",H252=""),"SELECT TEAM &amp; PRICE",IFERROR(IF(H252&gt;INDEX(Teams!$B$4:$B$13,MATCH(G252,Teams!$A$4:$A$13,0))-SUMIFS($H$4:$H$503,$G$4:$G$503,G252,$F$4:$F$503,"SOLD",$A$4:$A$503,"&lt;&gt;"&amp;A252),"OVER BUDGET","OK"),"INVALID TEAM"))))</f>
        <v/>
      </c>
      <c r="K252" s="1" t="str">
        <f>IF(F252="SOLD",COUNTIF($F$4:F252,"SOLD"),"")</f>
        <v/>
      </c>
      <c r="L252" s="1" t="str">
        <f>IF(F252="UNSOLD",COUNTIF($F$4:F252,"UNSOLD"),"")</f>
        <v/>
      </c>
      <c r="M252" s="1" t="str">
        <f>IF(AND(F252="SOLD",G252='Team View'!$B$3),COUNTIFS($F$4:F252,"SOLD",$G$4:G252,'Team View'!$B$3),"")</f>
        <v/>
      </c>
    </row>
    <row r="253" spans="1:13">
      <c r="A253" s="1" t="str">
        <f t="shared" si="3"/>
        <v/>
      </c>
      <c r="B253" s="1"/>
      <c r="C253" s="1"/>
      <c r="D253" s="1"/>
      <c r="E253" s="7"/>
      <c r="F253" s="1"/>
      <c r="G253" s="1"/>
      <c r="H253" s="7"/>
      <c r="I253" s="1"/>
      <c r="J253" s="1" t="str">
        <f>IF(B253="","",IF(F253&lt;&gt;"SOLD","",IF(OR(G253="",H253=""),"SELECT TEAM &amp; PRICE",IFERROR(IF(H253&gt;INDEX(Teams!$B$4:$B$13,MATCH(G253,Teams!$A$4:$A$13,0))-SUMIFS($H$4:$H$503,$G$4:$G$503,G253,$F$4:$F$503,"SOLD",$A$4:$A$503,"&lt;&gt;"&amp;A253),"OVER BUDGET","OK"),"INVALID TEAM"))))</f>
        <v/>
      </c>
      <c r="K253" s="1" t="str">
        <f>IF(F253="SOLD",COUNTIF($F$4:F253,"SOLD"),"")</f>
        <v/>
      </c>
      <c r="L253" s="1" t="str">
        <f>IF(F253="UNSOLD",COUNTIF($F$4:F253,"UNSOLD"),"")</f>
        <v/>
      </c>
      <c r="M253" s="1" t="str">
        <f>IF(AND(F253="SOLD",G253='Team View'!$B$3),COUNTIFS($F$4:F253,"SOLD",$G$4:G253,'Team View'!$B$3),"")</f>
        <v/>
      </c>
    </row>
    <row r="254" spans="1:13">
      <c r="A254" s="1" t="str">
        <f t="shared" si="3"/>
        <v/>
      </c>
      <c r="B254" s="1"/>
      <c r="C254" s="1"/>
      <c r="D254" s="1"/>
      <c r="E254" s="7"/>
      <c r="F254" s="1"/>
      <c r="G254" s="1"/>
      <c r="H254" s="7"/>
      <c r="I254" s="1"/>
      <c r="J254" s="1" t="str">
        <f>IF(B254="","",IF(F254&lt;&gt;"SOLD","",IF(OR(G254="",H254=""),"SELECT TEAM &amp; PRICE",IFERROR(IF(H254&gt;INDEX(Teams!$B$4:$B$13,MATCH(G254,Teams!$A$4:$A$13,0))-SUMIFS($H$4:$H$503,$G$4:$G$503,G254,$F$4:$F$503,"SOLD",$A$4:$A$503,"&lt;&gt;"&amp;A254),"OVER BUDGET","OK"),"INVALID TEAM"))))</f>
        <v/>
      </c>
      <c r="K254" s="1" t="str">
        <f>IF(F254="SOLD",COUNTIF($F$4:F254,"SOLD"),"")</f>
        <v/>
      </c>
      <c r="L254" s="1" t="str">
        <f>IF(F254="UNSOLD",COUNTIF($F$4:F254,"UNSOLD"),"")</f>
        <v/>
      </c>
      <c r="M254" s="1" t="str">
        <f>IF(AND(F254="SOLD",G254='Team View'!$B$3),COUNTIFS($F$4:F254,"SOLD",$G$4:G254,'Team View'!$B$3),"")</f>
        <v/>
      </c>
    </row>
    <row r="255" spans="1:13">
      <c r="A255" s="1" t="str">
        <f t="shared" si="3"/>
        <v/>
      </c>
      <c r="B255" s="1"/>
      <c r="C255" s="1"/>
      <c r="D255" s="1"/>
      <c r="E255" s="7"/>
      <c r="F255" s="1"/>
      <c r="G255" s="1"/>
      <c r="H255" s="7"/>
      <c r="I255" s="1"/>
      <c r="J255" s="1" t="str">
        <f>IF(B255="","",IF(F255&lt;&gt;"SOLD","",IF(OR(G255="",H255=""),"SELECT TEAM &amp; PRICE",IFERROR(IF(H255&gt;INDEX(Teams!$B$4:$B$13,MATCH(G255,Teams!$A$4:$A$13,0))-SUMIFS($H$4:$H$503,$G$4:$G$503,G255,$F$4:$F$503,"SOLD",$A$4:$A$503,"&lt;&gt;"&amp;A255),"OVER BUDGET","OK"),"INVALID TEAM"))))</f>
        <v/>
      </c>
      <c r="K255" s="1" t="str">
        <f>IF(F255="SOLD",COUNTIF($F$4:F255,"SOLD"),"")</f>
        <v/>
      </c>
      <c r="L255" s="1" t="str">
        <f>IF(F255="UNSOLD",COUNTIF($F$4:F255,"UNSOLD"),"")</f>
        <v/>
      </c>
      <c r="M255" s="1" t="str">
        <f>IF(AND(F255="SOLD",G255='Team View'!$B$3),COUNTIFS($F$4:F255,"SOLD",$G$4:G255,'Team View'!$B$3),"")</f>
        <v/>
      </c>
    </row>
    <row r="256" spans="1:13">
      <c r="A256" s="1" t="str">
        <f t="shared" si="3"/>
        <v/>
      </c>
      <c r="B256" s="1"/>
      <c r="C256" s="1"/>
      <c r="D256" s="1"/>
      <c r="E256" s="7"/>
      <c r="F256" s="1"/>
      <c r="G256" s="1"/>
      <c r="H256" s="7"/>
      <c r="I256" s="1"/>
      <c r="J256" s="1" t="str">
        <f>IF(B256="","",IF(F256&lt;&gt;"SOLD","",IF(OR(G256="",H256=""),"SELECT TEAM &amp; PRICE",IFERROR(IF(H256&gt;INDEX(Teams!$B$4:$B$13,MATCH(G256,Teams!$A$4:$A$13,0))-SUMIFS($H$4:$H$503,$G$4:$G$503,G256,$F$4:$F$503,"SOLD",$A$4:$A$503,"&lt;&gt;"&amp;A256),"OVER BUDGET","OK"),"INVALID TEAM"))))</f>
        <v/>
      </c>
      <c r="K256" s="1" t="str">
        <f>IF(F256="SOLD",COUNTIF($F$4:F256,"SOLD"),"")</f>
        <v/>
      </c>
      <c r="L256" s="1" t="str">
        <f>IF(F256="UNSOLD",COUNTIF($F$4:F256,"UNSOLD"),"")</f>
        <v/>
      </c>
      <c r="M256" s="1" t="str">
        <f>IF(AND(F256="SOLD",G256='Team View'!$B$3),COUNTIFS($F$4:F256,"SOLD",$G$4:G256,'Team View'!$B$3),"")</f>
        <v/>
      </c>
    </row>
    <row r="257" spans="1:13">
      <c r="A257" s="1" t="str">
        <f t="shared" si="3"/>
        <v/>
      </c>
      <c r="B257" s="1"/>
      <c r="C257" s="1"/>
      <c r="D257" s="1"/>
      <c r="E257" s="7"/>
      <c r="F257" s="1"/>
      <c r="G257" s="1"/>
      <c r="H257" s="7"/>
      <c r="I257" s="1"/>
      <c r="J257" s="1" t="str">
        <f>IF(B257="","",IF(F257&lt;&gt;"SOLD","",IF(OR(G257="",H257=""),"SELECT TEAM &amp; PRICE",IFERROR(IF(H257&gt;INDEX(Teams!$B$4:$B$13,MATCH(G257,Teams!$A$4:$A$13,0))-SUMIFS($H$4:$H$503,$G$4:$G$503,G257,$F$4:$F$503,"SOLD",$A$4:$A$503,"&lt;&gt;"&amp;A257),"OVER BUDGET","OK"),"INVALID TEAM"))))</f>
        <v/>
      </c>
      <c r="K257" s="1" t="str">
        <f>IF(F257="SOLD",COUNTIF($F$4:F257,"SOLD"),"")</f>
        <v/>
      </c>
      <c r="L257" s="1" t="str">
        <f>IF(F257="UNSOLD",COUNTIF($F$4:F257,"UNSOLD"),"")</f>
        <v/>
      </c>
      <c r="M257" s="1" t="str">
        <f>IF(AND(F257="SOLD",G257='Team View'!$B$3),COUNTIFS($F$4:F257,"SOLD",$G$4:G257,'Team View'!$B$3),"")</f>
        <v/>
      </c>
    </row>
    <row r="258" spans="1:13">
      <c r="A258" s="1" t="str">
        <f t="shared" si="3"/>
        <v/>
      </c>
      <c r="B258" s="1"/>
      <c r="C258" s="1"/>
      <c r="D258" s="1"/>
      <c r="E258" s="7"/>
      <c r="F258" s="1"/>
      <c r="G258" s="1"/>
      <c r="H258" s="7"/>
      <c r="I258" s="1"/>
      <c r="J258" s="1" t="str">
        <f>IF(B258="","",IF(F258&lt;&gt;"SOLD","",IF(OR(G258="",H258=""),"SELECT TEAM &amp; PRICE",IFERROR(IF(H258&gt;INDEX(Teams!$B$4:$B$13,MATCH(G258,Teams!$A$4:$A$13,0))-SUMIFS($H$4:$H$503,$G$4:$G$503,G258,$F$4:$F$503,"SOLD",$A$4:$A$503,"&lt;&gt;"&amp;A258),"OVER BUDGET","OK"),"INVALID TEAM"))))</f>
        <v/>
      </c>
      <c r="K258" s="1" t="str">
        <f>IF(F258="SOLD",COUNTIF($F$4:F258,"SOLD"),"")</f>
        <v/>
      </c>
      <c r="L258" s="1" t="str">
        <f>IF(F258="UNSOLD",COUNTIF($F$4:F258,"UNSOLD"),"")</f>
        <v/>
      </c>
      <c r="M258" s="1" t="str">
        <f>IF(AND(F258="SOLD",G258='Team View'!$B$3),COUNTIFS($F$4:F258,"SOLD",$G$4:G258,'Team View'!$B$3),"")</f>
        <v/>
      </c>
    </row>
    <row r="259" spans="1:13">
      <c r="A259" s="1" t="str">
        <f t="shared" si="3"/>
        <v/>
      </c>
      <c r="B259" s="1"/>
      <c r="C259" s="1"/>
      <c r="D259" s="1"/>
      <c r="E259" s="7"/>
      <c r="F259" s="1"/>
      <c r="G259" s="1"/>
      <c r="H259" s="7"/>
      <c r="I259" s="1"/>
      <c r="J259" s="1" t="str">
        <f>IF(B259="","",IF(F259&lt;&gt;"SOLD","",IF(OR(G259="",H259=""),"SELECT TEAM &amp; PRICE",IFERROR(IF(H259&gt;INDEX(Teams!$B$4:$B$13,MATCH(G259,Teams!$A$4:$A$13,0))-SUMIFS($H$4:$H$503,$G$4:$G$503,G259,$F$4:$F$503,"SOLD",$A$4:$A$503,"&lt;&gt;"&amp;A259),"OVER BUDGET","OK"),"INVALID TEAM"))))</f>
        <v/>
      </c>
      <c r="K259" s="1" t="str">
        <f>IF(F259="SOLD",COUNTIF($F$4:F259,"SOLD"),"")</f>
        <v/>
      </c>
      <c r="L259" s="1" t="str">
        <f>IF(F259="UNSOLD",COUNTIF($F$4:F259,"UNSOLD"),"")</f>
        <v/>
      </c>
      <c r="M259" s="1" t="str">
        <f>IF(AND(F259="SOLD",G259='Team View'!$B$3),COUNTIFS($F$4:F259,"SOLD",$G$4:G259,'Team View'!$B$3),"")</f>
        <v/>
      </c>
    </row>
    <row r="260" spans="1:13">
      <c r="A260" s="1" t="str">
        <f t="shared" ref="A260:A323" si="4">IF(B260="","",ROW()-3)</f>
        <v/>
      </c>
      <c r="B260" s="1"/>
      <c r="C260" s="1"/>
      <c r="D260" s="1"/>
      <c r="E260" s="7"/>
      <c r="F260" s="1"/>
      <c r="G260" s="1"/>
      <c r="H260" s="7"/>
      <c r="I260" s="1"/>
      <c r="J260" s="1" t="str">
        <f>IF(B260="","",IF(F260&lt;&gt;"SOLD","",IF(OR(G260="",H260=""),"SELECT TEAM &amp; PRICE",IFERROR(IF(H260&gt;INDEX(Teams!$B$4:$B$13,MATCH(G260,Teams!$A$4:$A$13,0))-SUMIFS($H$4:$H$503,$G$4:$G$503,G260,$F$4:$F$503,"SOLD",$A$4:$A$503,"&lt;&gt;"&amp;A260),"OVER BUDGET","OK"),"INVALID TEAM"))))</f>
        <v/>
      </c>
      <c r="K260" s="1" t="str">
        <f>IF(F260="SOLD",COUNTIF($F$4:F260,"SOLD"),"")</f>
        <v/>
      </c>
      <c r="L260" s="1" t="str">
        <f>IF(F260="UNSOLD",COUNTIF($F$4:F260,"UNSOLD"),"")</f>
        <v/>
      </c>
      <c r="M260" s="1" t="str">
        <f>IF(AND(F260="SOLD",G260='Team View'!$B$3),COUNTIFS($F$4:F260,"SOLD",$G$4:G260,'Team View'!$B$3),"")</f>
        <v/>
      </c>
    </row>
    <row r="261" spans="1:13">
      <c r="A261" s="1" t="str">
        <f t="shared" si="4"/>
        <v/>
      </c>
      <c r="B261" s="1"/>
      <c r="C261" s="1"/>
      <c r="D261" s="1"/>
      <c r="E261" s="7"/>
      <c r="F261" s="1"/>
      <c r="G261" s="1"/>
      <c r="H261" s="7"/>
      <c r="I261" s="1"/>
      <c r="J261" s="1" t="str">
        <f>IF(B261="","",IF(F261&lt;&gt;"SOLD","",IF(OR(G261="",H261=""),"SELECT TEAM &amp; PRICE",IFERROR(IF(H261&gt;INDEX(Teams!$B$4:$B$13,MATCH(G261,Teams!$A$4:$A$13,0))-SUMIFS($H$4:$H$503,$G$4:$G$503,G261,$F$4:$F$503,"SOLD",$A$4:$A$503,"&lt;&gt;"&amp;A261),"OVER BUDGET","OK"),"INVALID TEAM"))))</f>
        <v/>
      </c>
      <c r="K261" s="1" t="str">
        <f>IF(F261="SOLD",COUNTIF($F$4:F261,"SOLD"),"")</f>
        <v/>
      </c>
      <c r="L261" s="1" t="str">
        <f>IF(F261="UNSOLD",COUNTIF($F$4:F261,"UNSOLD"),"")</f>
        <v/>
      </c>
      <c r="M261" s="1" t="str">
        <f>IF(AND(F261="SOLD",G261='Team View'!$B$3),COUNTIFS($F$4:F261,"SOLD",$G$4:G261,'Team View'!$B$3),"")</f>
        <v/>
      </c>
    </row>
    <row r="262" spans="1:13">
      <c r="A262" s="1" t="str">
        <f t="shared" si="4"/>
        <v/>
      </c>
      <c r="B262" s="1"/>
      <c r="C262" s="1"/>
      <c r="D262" s="1"/>
      <c r="E262" s="7"/>
      <c r="F262" s="1"/>
      <c r="G262" s="1"/>
      <c r="H262" s="7"/>
      <c r="I262" s="1"/>
      <c r="J262" s="1" t="str">
        <f>IF(B262="","",IF(F262&lt;&gt;"SOLD","",IF(OR(G262="",H262=""),"SELECT TEAM &amp; PRICE",IFERROR(IF(H262&gt;INDEX(Teams!$B$4:$B$13,MATCH(G262,Teams!$A$4:$A$13,0))-SUMIFS($H$4:$H$503,$G$4:$G$503,G262,$F$4:$F$503,"SOLD",$A$4:$A$503,"&lt;&gt;"&amp;A262),"OVER BUDGET","OK"),"INVALID TEAM"))))</f>
        <v/>
      </c>
      <c r="K262" s="1" t="str">
        <f>IF(F262="SOLD",COUNTIF($F$4:F262,"SOLD"),"")</f>
        <v/>
      </c>
      <c r="L262" s="1" t="str">
        <f>IF(F262="UNSOLD",COUNTIF($F$4:F262,"UNSOLD"),"")</f>
        <v/>
      </c>
      <c r="M262" s="1" t="str">
        <f>IF(AND(F262="SOLD",G262='Team View'!$B$3),COUNTIFS($F$4:F262,"SOLD",$G$4:G262,'Team View'!$B$3),"")</f>
        <v/>
      </c>
    </row>
    <row r="263" spans="1:13">
      <c r="A263" s="1" t="str">
        <f t="shared" si="4"/>
        <v/>
      </c>
      <c r="B263" s="1"/>
      <c r="C263" s="1"/>
      <c r="D263" s="1"/>
      <c r="E263" s="7"/>
      <c r="F263" s="1"/>
      <c r="G263" s="1"/>
      <c r="H263" s="7"/>
      <c r="I263" s="1"/>
      <c r="J263" s="1" t="str">
        <f>IF(B263="","",IF(F263&lt;&gt;"SOLD","",IF(OR(G263="",H263=""),"SELECT TEAM &amp; PRICE",IFERROR(IF(H263&gt;INDEX(Teams!$B$4:$B$13,MATCH(G263,Teams!$A$4:$A$13,0))-SUMIFS($H$4:$H$503,$G$4:$G$503,G263,$F$4:$F$503,"SOLD",$A$4:$A$503,"&lt;&gt;"&amp;A263),"OVER BUDGET","OK"),"INVALID TEAM"))))</f>
        <v/>
      </c>
      <c r="K263" s="1" t="str">
        <f>IF(F263="SOLD",COUNTIF($F$4:F263,"SOLD"),"")</f>
        <v/>
      </c>
      <c r="L263" s="1" t="str">
        <f>IF(F263="UNSOLD",COUNTIF($F$4:F263,"UNSOLD"),"")</f>
        <v/>
      </c>
      <c r="M263" s="1" t="str">
        <f>IF(AND(F263="SOLD",G263='Team View'!$B$3),COUNTIFS($F$4:F263,"SOLD",$G$4:G263,'Team View'!$B$3),"")</f>
        <v/>
      </c>
    </row>
    <row r="264" spans="1:13">
      <c r="A264" s="1" t="str">
        <f t="shared" si="4"/>
        <v/>
      </c>
      <c r="B264" s="1"/>
      <c r="C264" s="1"/>
      <c r="D264" s="1"/>
      <c r="E264" s="7"/>
      <c r="F264" s="1"/>
      <c r="G264" s="1"/>
      <c r="H264" s="7"/>
      <c r="I264" s="1"/>
      <c r="J264" s="1" t="str">
        <f>IF(B264="","",IF(F264&lt;&gt;"SOLD","",IF(OR(G264="",H264=""),"SELECT TEAM &amp; PRICE",IFERROR(IF(H264&gt;INDEX(Teams!$B$4:$B$13,MATCH(G264,Teams!$A$4:$A$13,0))-SUMIFS($H$4:$H$503,$G$4:$G$503,G264,$F$4:$F$503,"SOLD",$A$4:$A$503,"&lt;&gt;"&amp;A264),"OVER BUDGET","OK"),"INVALID TEAM"))))</f>
        <v/>
      </c>
      <c r="K264" s="1" t="str">
        <f>IF(F264="SOLD",COUNTIF($F$4:F264,"SOLD"),"")</f>
        <v/>
      </c>
      <c r="L264" s="1" t="str">
        <f>IF(F264="UNSOLD",COUNTIF($F$4:F264,"UNSOLD"),"")</f>
        <v/>
      </c>
      <c r="M264" s="1" t="str">
        <f>IF(AND(F264="SOLD",G264='Team View'!$B$3),COUNTIFS($F$4:F264,"SOLD",$G$4:G264,'Team View'!$B$3),"")</f>
        <v/>
      </c>
    </row>
    <row r="265" spans="1:13">
      <c r="A265" s="1" t="str">
        <f t="shared" si="4"/>
        <v/>
      </c>
      <c r="B265" s="1"/>
      <c r="C265" s="1"/>
      <c r="D265" s="1"/>
      <c r="E265" s="7"/>
      <c r="F265" s="1"/>
      <c r="G265" s="1"/>
      <c r="H265" s="7"/>
      <c r="I265" s="1"/>
      <c r="J265" s="1" t="str">
        <f>IF(B265="","",IF(F265&lt;&gt;"SOLD","",IF(OR(G265="",H265=""),"SELECT TEAM &amp; PRICE",IFERROR(IF(H265&gt;INDEX(Teams!$B$4:$B$13,MATCH(G265,Teams!$A$4:$A$13,0))-SUMIFS($H$4:$H$503,$G$4:$G$503,G265,$F$4:$F$503,"SOLD",$A$4:$A$503,"&lt;&gt;"&amp;A265),"OVER BUDGET","OK"),"INVALID TEAM"))))</f>
        <v/>
      </c>
      <c r="K265" s="1" t="str">
        <f>IF(F265="SOLD",COUNTIF($F$4:F265,"SOLD"),"")</f>
        <v/>
      </c>
      <c r="L265" s="1" t="str">
        <f>IF(F265="UNSOLD",COUNTIF($F$4:F265,"UNSOLD"),"")</f>
        <v/>
      </c>
      <c r="M265" s="1" t="str">
        <f>IF(AND(F265="SOLD",G265='Team View'!$B$3),COUNTIFS($F$4:F265,"SOLD",$G$4:G265,'Team View'!$B$3),"")</f>
        <v/>
      </c>
    </row>
    <row r="266" spans="1:13">
      <c r="A266" s="1" t="str">
        <f t="shared" si="4"/>
        <v/>
      </c>
      <c r="B266" s="1"/>
      <c r="C266" s="1"/>
      <c r="D266" s="1"/>
      <c r="E266" s="7"/>
      <c r="F266" s="1"/>
      <c r="G266" s="1"/>
      <c r="H266" s="7"/>
      <c r="I266" s="1"/>
      <c r="J266" s="1" t="str">
        <f>IF(B266="","",IF(F266&lt;&gt;"SOLD","",IF(OR(G266="",H266=""),"SELECT TEAM &amp; PRICE",IFERROR(IF(H266&gt;INDEX(Teams!$B$4:$B$13,MATCH(G266,Teams!$A$4:$A$13,0))-SUMIFS($H$4:$H$503,$G$4:$G$503,G266,$F$4:$F$503,"SOLD",$A$4:$A$503,"&lt;&gt;"&amp;A266),"OVER BUDGET","OK"),"INVALID TEAM"))))</f>
        <v/>
      </c>
      <c r="K266" s="1" t="str">
        <f>IF(F266="SOLD",COUNTIF($F$4:F266,"SOLD"),"")</f>
        <v/>
      </c>
      <c r="L266" s="1" t="str">
        <f>IF(F266="UNSOLD",COUNTIF($F$4:F266,"UNSOLD"),"")</f>
        <v/>
      </c>
      <c r="M266" s="1" t="str">
        <f>IF(AND(F266="SOLD",G266='Team View'!$B$3),COUNTIFS($F$4:F266,"SOLD",$G$4:G266,'Team View'!$B$3),"")</f>
        <v/>
      </c>
    </row>
    <row r="267" spans="1:13">
      <c r="A267" s="1" t="str">
        <f t="shared" si="4"/>
        <v/>
      </c>
      <c r="B267" s="1"/>
      <c r="C267" s="1"/>
      <c r="D267" s="1"/>
      <c r="E267" s="7"/>
      <c r="F267" s="1"/>
      <c r="G267" s="1"/>
      <c r="H267" s="7"/>
      <c r="I267" s="1"/>
      <c r="J267" s="1" t="str">
        <f>IF(B267="","",IF(F267&lt;&gt;"SOLD","",IF(OR(G267="",H267=""),"SELECT TEAM &amp; PRICE",IFERROR(IF(H267&gt;INDEX(Teams!$B$4:$B$13,MATCH(G267,Teams!$A$4:$A$13,0))-SUMIFS($H$4:$H$503,$G$4:$G$503,G267,$F$4:$F$503,"SOLD",$A$4:$A$503,"&lt;&gt;"&amp;A267),"OVER BUDGET","OK"),"INVALID TEAM"))))</f>
        <v/>
      </c>
      <c r="K267" s="1" t="str">
        <f>IF(F267="SOLD",COUNTIF($F$4:F267,"SOLD"),"")</f>
        <v/>
      </c>
      <c r="L267" s="1" t="str">
        <f>IF(F267="UNSOLD",COUNTIF($F$4:F267,"UNSOLD"),"")</f>
        <v/>
      </c>
      <c r="M267" s="1" t="str">
        <f>IF(AND(F267="SOLD",G267='Team View'!$B$3),COUNTIFS($F$4:F267,"SOLD",$G$4:G267,'Team View'!$B$3),"")</f>
        <v/>
      </c>
    </row>
    <row r="268" spans="1:13">
      <c r="A268" s="1" t="str">
        <f t="shared" si="4"/>
        <v/>
      </c>
      <c r="B268" s="1"/>
      <c r="C268" s="1"/>
      <c r="D268" s="1"/>
      <c r="E268" s="7"/>
      <c r="F268" s="1"/>
      <c r="G268" s="1"/>
      <c r="H268" s="7"/>
      <c r="I268" s="1"/>
      <c r="J268" s="1" t="str">
        <f>IF(B268="","",IF(F268&lt;&gt;"SOLD","",IF(OR(G268="",H268=""),"SELECT TEAM &amp; PRICE",IFERROR(IF(H268&gt;INDEX(Teams!$B$4:$B$13,MATCH(G268,Teams!$A$4:$A$13,0))-SUMIFS($H$4:$H$503,$G$4:$G$503,G268,$F$4:$F$503,"SOLD",$A$4:$A$503,"&lt;&gt;"&amp;A268),"OVER BUDGET","OK"),"INVALID TEAM"))))</f>
        <v/>
      </c>
      <c r="K268" s="1" t="str">
        <f>IF(F268="SOLD",COUNTIF($F$4:F268,"SOLD"),"")</f>
        <v/>
      </c>
      <c r="L268" s="1" t="str">
        <f>IF(F268="UNSOLD",COUNTIF($F$4:F268,"UNSOLD"),"")</f>
        <v/>
      </c>
      <c r="M268" s="1" t="str">
        <f>IF(AND(F268="SOLD",G268='Team View'!$B$3),COUNTIFS($F$4:F268,"SOLD",$G$4:G268,'Team View'!$B$3),"")</f>
        <v/>
      </c>
    </row>
    <row r="269" spans="1:13">
      <c r="A269" s="1" t="str">
        <f t="shared" si="4"/>
        <v/>
      </c>
      <c r="B269" s="1"/>
      <c r="C269" s="1"/>
      <c r="D269" s="1"/>
      <c r="E269" s="7"/>
      <c r="F269" s="1"/>
      <c r="G269" s="1"/>
      <c r="H269" s="7"/>
      <c r="I269" s="1"/>
      <c r="J269" s="1" t="str">
        <f>IF(B269="","",IF(F269&lt;&gt;"SOLD","",IF(OR(G269="",H269=""),"SELECT TEAM &amp; PRICE",IFERROR(IF(H269&gt;INDEX(Teams!$B$4:$B$13,MATCH(G269,Teams!$A$4:$A$13,0))-SUMIFS($H$4:$H$503,$G$4:$G$503,G269,$F$4:$F$503,"SOLD",$A$4:$A$503,"&lt;&gt;"&amp;A269),"OVER BUDGET","OK"),"INVALID TEAM"))))</f>
        <v/>
      </c>
      <c r="K269" s="1" t="str">
        <f>IF(F269="SOLD",COUNTIF($F$4:F269,"SOLD"),"")</f>
        <v/>
      </c>
      <c r="L269" s="1" t="str">
        <f>IF(F269="UNSOLD",COUNTIF($F$4:F269,"UNSOLD"),"")</f>
        <v/>
      </c>
      <c r="M269" s="1" t="str">
        <f>IF(AND(F269="SOLD",G269='Team View'!$B$3),COUNTIFS($F$4:F269,"SOLD",$G$4:G269,'Team View'!$B$3),"")</f>
        <v/>
      </c>
    </row>
    <row r="270" spans="1:13">
      <c r="A270" s="1" t="str">
        <f t="shared" si="4"/>
        <v/>
      </c>
      <c r="B270" s="1"/>
      <c r="C270" s="1"/>
      <c r="D270" s="1"/>
      <c r="E270" s="7"/>
      <c r="F270" s="1"/>
      <c r="G270" s="1"/>
      <c r="H270" s="7"/>
      <c r="I270" s="1"/>
      <c r="J270" s="1" t="str">
        <f>IF(B270="","",IF(F270&lt;&gt;"SOLD","",IF(OR(G270="",H270=""),"SELECT TEAM &amp; PRICE",IFERROR(IF(H270&gt;INDEX(Teams!$B$4:$B$13,MATCH(G270,Teams!$A$4:$A$13,0))-SUMIFS($H$4:$H$503,$G$4:$G$503,G270,$F$4:$F$503,"SOLD",$A$4:$A$503,"&lt;&gt;"&amp;A270),"OVER BUDGET","OK"),"INVALID TEAM"))))</f>
        <v/>
      </c>
      <c r="K270" s="1" t="str">
        <f>IF(F270="SOLD",COUNTIF($F$4:F270,"SOLD"),"")</f>
        <v/>
      </c>
      <c r="L270" s="1" t="str">
        <f>IF(F270="UNSOLD",COUNTIF($F$4:F270,"UNSOLD"),"")</f>
        <v/>
      </c>
      <c r="M270" s="1" t="str">
        <f>IF(AND(F270="SOLD",G270='Team View'!$B$3),COUNTIFS($F$4:F270,"SOLD",$G$4:G270,'Team View'!$B$3),"")</f>
        <v/>
      </c>
    </row>
    <row r="271" spans="1:13">
      <c r="A271" s="1" t="str">
        <f t="shared" si="4"/>
        <v/>
      </c>
      <c r="B271" s="1"/>
      <c r="C271" s="1"/>
      <c r="D271" s="1"/>
      <c r="E271" s="7"/>
      <c r="F271" s="1"/>
      <c r="G271" s="1"/>
      <c r="H271" s="7"/>
      <c r="I271" s="1"/>
      <c r="J271" s="1" t="str">
        <f>IF(B271="","",IF(F271&lt;&gt;"SOLD","",IF(OR(G271="",H271=""),"SELECT TEAM &amp; PRICE",IFERROR(IF(H271&gt;INDEX(Teams!$B$4:$B$13,MATCH(G271,Teams!$A$4:$A$13,0))-SUMIFS($H$4:$H$503,$G$4:$G$503,G271,$F$4:$F$503,"SOLD",$A$4:$A$503,"&lt;&gt;"&amp;A271),"OVER BUDGET","OK"),"INVALID TEAM"))))</f>
        <v/>
      </c>
      <c r="K271" s="1" t="str">
        <f>IF(F271="SOLD",COUNTIF($F$4:F271,"SOLD"),"")</f>
        <v/>
      </c>
      <c r="L271" s="1" t="str">
        <f>IF(F271="UNSOLD",COUNTIF($F$4:F271,"UNSOLD"),"")</f>
        <v/>
      </c>
      <c r="M271" s="1" t="str">
        <f>IF(AND(F271="SOLD",G271='Team View'!$B$3),COUNTIFS($F$4:F271,"SOLD",$G$4:G271,'Team View'!$B$3),"")</f>
        <v/>
      </c>
    </row>
    <row r="272" spans="1:13">
      <c r="A272" s="1" t="str">
        <f t="shared" si="4"/>
        <v/>
      </c>
      <c r="B272" s="1"/>
      <c r="C272" s="1"/>
      <c r="D272" s="1"/>
      <c r="E272" s="7"/>
      <c r="F272" s="1"/>
      <c r="G272" s="1"/>
      <c r="H272" s="7"/>
      <c r="I272" s="1"/>
      <c r="J272" s="1" t="str">
        <f>IF(B272="","",IF(F272&lt;&gt;"SOLD","",IF(OR(G272="",H272=""),"SELECT TEAM &amp; PRICE",IFERROR(IF(H272&gt;INDEX(Teams!$B$4:$B$13,MATCH(G272,Teams!$A$4:$A$13,0))-SUMIFS($H$4:$H$503,$G$4:$G$503,G272,$F$4:$F$503,"SOLD",$A$4:$A$503,"&lt;&gt;"&amp;A272),"OVER BUDGET","OK"),"INVALID TEAM"))))</f>
        <v/>
      </c>
      <c r="K272" s="1" t="str">
        <f>IF(F272="SOLD",COUNTIF($F$4:F272,"SOLD"),"")</f>
        <v/>
      </c>
      <c r="L272" s="1" t="str">
        <f>IF(F272="UNSOLD",COUNTIF($F$4:F272,"UNSOLD"),"")</f>
        <v/>
      </c>
      <c r="M272" s="1" t="str">
        <f>IF(AND(F272="SOLD",G272='Team View'!$B$3),COUNTIFS($F$4:F272,"SOLD",$G$4:G272,'Team View'!$B$3),"")</f>
        <v/>
      </c>
    </row>
    <row r="273" spans="1:13">
      <c r="A273" s="1" t="str">
        <f t="shared" si="4"/>
        <v/>
      </c>
      <c r="B273" s="1"/>
      <c r="C273" s="1"/>
      <c r="D273" s="1"/>
      <c r="E273" s="7"/>
      <c r="F273" s="1"/>
      <c r="G273" s="1"/>
      <c r="H273" s="7"/>
      <c r="I273" s="1"/>
      <c r="J273" s="1" t="str">
        <f>IF(B273="","",IF(F273&lt;&gt;"SOLD","",IF(OR(G273="",H273=""),"SELECT TEAM &amp; PRICE",IFERROR(IF(H273&gt;INDEX(Teams!$B$4:$B$13,MATCH(G273,Teams!$A$4:$A$13,0))-SUMIFS($H$4:$H$503,$G$4:$G$503,G273,$F$4:$F$503,"SOLD",$A$4:$A$503,"&lt;&gt;"&amp;A273),"OVER BUDGET","OK"),"INVALID TEAM"))))</f>
        <v/>
      </c>
      <c r="K273" s="1" t="str">
        <f>IF(F273="SOLD",COUNTIF($F$4:F273,"SOLD"),"")</f>
        <v/>
      </c>
      <c r="L273" s="1" t="str">
        <f>IF(F273="UNSOLD",COUNTIF($F$4:F273,"UNSOLD"),"")</f>
        <v/>
      </c>
      <c r="M273" s="1" t="str">
        <f>IF(AND(F273="SOLD",G273='Team View'!$B$3),COUNTIFS($F$4:F273,"SOLD",$G$4:G273,'Team View'!$B$3),"")</f>
        <v/>
      </c>
    </row>
    <row r="274" spans="1:13">
      <c r="A274" s="1" t="str">
        <f t="shared" si="4"/>
        <v/>
      </c>
      <c r="B274" s="1"/>
      <c r="C274" s="1"/>
      <c r="D274" s="1"/>
      <c r="E274" s="7"/>
      <c r="F274" s="1"/>
      <c r="G274" s="1"/>
      <c r="H274" s="7"/>
      <c r="I274" s="1"/>
      <c r="J274" s="1" t="str">
        <f>IF(B274="","",IF(F274&lt;&gt;"SOLD","",IF(OR(G274="",H274=""),"SELECT TEAM &amp; PRICE",IFERROR(IF(H274&gt;INDEX(Teams!$B$4:$B$13,MATCH(G274,Teams!$A$4:$A$13,0))-SUMIFS($H$4:$H$503,$G$4:$G$503,G274,$F$4:$F$503,"SOLD",$A$4:$A$503,"&lt;&gt;"&amp;A274),"OVER BUDGET","OK"),"INVALID TEAM"))))</f>
        <v/>
      </c>
      <c r="K274" s="1" t="str">
        <f>IF(F274="SOLD",COUNTIF($F$4:F274,"SOLD"),"")</f>
        <v/>
      </c>
      <c r="L274" s="1" t="str">
        <f>IF(F274="UNSOLD",COUNTIF($F$4:F274,"UNSOLD"),"")</f>
        <v/>
      </c>
      <c r="M274" s="1" t="str">
        <f>IF(AND(F274="SOLD",G274='Team View'!$B$3),COUNTIFS($F$4:F274,"SOLD",$G$4:G274,'Team View'!$B$3),"")</f>
        <v/>
      </c>
    </row>
    <row r="275" spans="1:13">
      <c r="A275" s="1" t="str">
        <f t="shared" si="4"/>
        <v/>
      </c>
      <c r="B275" s="1"/>
      <c r="C275" s="1"/>
      <c r="D275" s="1"/>
      <c r="E275" s="7"/>
      <c r="F275" s="1"/>
      <c r="G275" s="1"/>
      <c r="H275" s="7"/>
      <c r="I275" s="1"/>
      <c r="J275" s="1" t="str">
        <f>IF(B275="","",IF(F275&lt;&gt;"SOLD","",IF(OR(G275="",H275=""),"SELECT TEAM &amp; PRICE",IFERROR(IF(H275&gt;INDEX(Teams!$B$4:$B$13,MATCH(G275,Teams!$A$4:$A$13,0))-SUMIFS($H$4:$H$503,$G$4:$G$503,G275,$F$4:$F$503,"SOLD",$A$4:$A$503,"&lt;&gt;"&amp;A275),"OVER BUDGET","OK"),"INVALID TEAM"))))</f>
        <v/>
      </c>
      <c r="K275" s="1" t="str">
        <f>IF(F275="SOLD",COUNTIF($F$4:F275,"SOLD"),"")</f>
        <v/>
      </c>
      <c r="L275" s="1" t="str">
        <f>IF(F275="UNSOLD",COUNTIF($F$4:F275,"UNSOLD"),"")</f>
        <v/>
      </c>
      <c r="M275" s="1" t="str">
        <f>IF(AND(F275="SOLD",G275='Team View'!$B$3),COUNTIFS($F$4:F275,"SOLD",$G$4:G275,'Team View'!$B$3),"")</f>
        <v/>
      </c>
    </row>
    <row r="276" spans="1:13">
      <c r="A276" s="1" t="str">
        <f t="shared" si="4"/>
        <v/>
      </c>
      <c r="B276" s="1"/>
      <c r="C276" s="1"/>
      <c r="D276" s="1"/>
      <c r="E276" s="7"/>
      <c r="F276" s="1"/>
      <c r="G276" s="1"/>
      <c r="H276" s="7"/>
      <c r="I276" s="1"/>
      <c r="J276" s="1" t="str">
        <f>IF(B276="","",IF(F276&lt;&gt;"SOLD","",IF(OR(G276="",H276=""),"SELECT TEAM &amp; PRICE",IFERROR(IF(H276&gt;INDEX(Teams!$B$4:$B$13,MATCH(G276,Teams!$A$4:$A$13,0))-SUMIFS($H$4:$H$503,$G$4:$G$503,G276,$F$4:$F$503,"SOLD",$A$4:$A$503,"&lt;&gt;"&amp;A276),"OVER BUDGET","OK"),"INVALID TEAM"))))</f>
        <v/>
      </c>
      <c r="K276" s="1" t="str">
        <f>IF(F276="SOLD",COUNTIF($F$4:F276,"SOLD"),"")</f>
        <v/>
      </c>
      <c r="L276" s="1" t="str">
        <f>IF(F276="UNSOLD",COUNTIF($F$4:F276,"UNSOLD"),"")</f>
        <v/>
      </c>
      <c r="M276" s="1" t="str">
        <f>IF(AND(F276="SOLD",G276='Team View'!$B$3),COUNTIFS($F$4:F276,"SOLD",$G$4:G276,'Team View'!$B$3),"")</f>
        <v/>
      </c>
    </row>
    <row r="277" spans="1:13">
      <c r="A277" s="1" t="str">
        <f t="shared" si="4"/>
        <v/>
      </c>
      <c r="B277" s="1"/>
      <c r="C277" s="1"/>
      <c r="D277" s="1"/>
      <c r="E277" s="7"/>
      <c r="F277" s="1"/>
      <c r="G277" s="1"/>
      <c r="H277" s="7"/>
      <c r="I277" s="1"/>
      <c r="J277" s="1" t="str">
        <f>IF(B277="","",IF(F277&lt;&gt;"SOLD","",IF(OR(G277="",H277=""),"SELECT TEAM &amp; PRICE",IFERROR(IF(H277&gt;INDEX(Teams!$B$4:$B$13,MATCH(G277,Teams!$A$4:$A$13,0))-SUMIFS($H$4:$H$503,$G$4:$G$503,G277,$F$4:$F$503,"SOLD",$A$4:$A$503,"&lt;&gt;"&amp;A277),"OVER BUDGET","OK"),"INVALID TEAM"))))</f>
        <v/>
      </c>
      <c r="K277" s="1" t="str">
        <f>IF(F277="SOLD",COUNTIF($F$4:F277,"SOLD"),"")</f>
        <v/>
      </c>
      <c r="L277" s="1" t="str">
        <f>IF(F277="UNSOLD",COUNTIF($F$4:F277,"UNSOLD"),"")</f>
        <v/>
      </c>
      <c r="M277" s="1" t="str">
        <f>IF(AND(F277="SOLD",G277='Team View'!$B$3),COUNTIFS($F$4:F277,"SOLD",$G$4:G277,'Team View'!$B$3),"")</f>
        <v/>
      </c>
    </row>
    <row r="278" spans="1:13">
      <c r="A278" s="1" t="str">
        <f t="shared" si="4"/>
        <v/>
      </c>
      <c r="B278" s="1"/>
      <c r="C278" s="1"/>
      <c r="D278" s="1"/>
      <c r="E278" s="7"/>
      <c r="F278" s="1"/>
      <c r="G278" s="1"/>
      <c r="H278" s="7"/>
      <c r="I278" s="1"/>
      <c r="J278" s="1" t="str">
        <f>IF(B278="","",IF(F278&lt;&gt;"SOLD","",IF(OR(G278="",H278=""),"SELECT TEAM &amp; PRICE",IFERROR(IF(H278&gt;INDEX(Teams!$B$4:$B$13,MATCH(G278,Teams!$A$4:$A$13,0))-SUMIFS($H$4:$H$503,$G$4:$G$503,G278,$F$4:$F$503,"SOLD",$A$4:$A$503,"&lt;&gt;"&amp;A278),"OVER BUDGET","OK"),"INVALID TEAM"))))</f>
        <v/>
      </c>
      <c r="K278" s="1" t="str">
        <f>IF(F278="SOLD",COUNTIF($F$4:F278,"SOLD"),"")</f>
        <v/>
      </c>
      <c r="L278" s="1" t="str">
        <f>IF(F278="UNSOLD",COUNTIF($F$4:F278,"UNSOLD"),"")</f>
        <v/>
      </c>
      <c r="M278" s="1" t="str">
        <f>IF(AND(F278="SOLD",G278='Team View'!$B$3),COUNTIFS($F$4:F278,"SOLD",$G$4:G278,'Team View'!$B$3),"")</f>
        <v/>
      </c>
    </row>
    <row r="279" spans="1:13">
      <c r="A279" s="1" t="str">
        <f t="shared" si="4"/>
        <v/>
      </c>
      <c r="B279" s="1"/>
      <c r="C279" s="1"/>
      <c r="D279" s="1"/>
      <c r="E279" s="7"/>
      <c r="F279" s="1"/>
      <c r="G279" s="1"/>
      <c r="H279" s="7"/>
      <c r="I279" s="1"/>
      <c r="J279" s="1" t="str">
        <f>IF(B279="","",IF(F279&lt;&gt;"SOLD","",IF(OR(G279="",H279=""),"SELECT TEAM &amp; PRICE",IFERROR(IF(H279&gt;INDEX(Teams!$B$4:$B$13,MATCH(G279,Teams!$A$4:$A$13,0))-SUMIFS($H$4:$H$503,$G$4:$G$503,G279,$F$4:$F$503,"SOLD",$A$4:$A$503,"&lt;&gt;"&amp;A279),"OVER BUDGET","OK"),"INVALID TEAM"))))</f>
        <v/>
      </c>
      <c r="K279" s="1" t="str">
        <f>IF(F279="SOLD",COUNTIF($F$4:F279,"SOLD"),"")</f>
        <v/>
      </c>
      <c r="L279" s="1" t="str">
        <f>IF(F279="UNSOLD",COUNTIF($F$4:F279,"UNSOLD"),"")</f>
        <v/>
      </c>
      <c r="M279" s="1" t="str">
        <f>IF(AND(F279="SOLD",G279='Team View'!$B$3),COUNTIFS($F$4:F279,"SOLD",$G$4:G279,'Team View'!$B$3),"")</f>
        <v/>
      </c>
    </row>
    <row r="280" spans="1:13">
      <c r="A280" s="1" t="str">
        <f t="shared" si="4"/>
        <v/>
      </c>
      <c r="B280" s="1"/>
      <c r="C280" s="1"/>
      <c r="D280" s="1"/>
      <c r="E280" s="7"/>
      <c r="F280" s="1"/>
      <c r="G280" s="1"/>
      <c r="H280" s="7"/>
      <c r="I280" s="1"/>
      <c r="J280" s="1" t="str">
        <f>IF(B280="","",IF(F280&lt;&gt;"SOLD","",IF(OR(G280="",H280=""),"SELECT TEAM &amp; PRICE",IFERROR(IF(H280&gt;INDEX(Teams!$B$4:$B$13,MATCH(G280,Teams!$A$4:$A$13,0))-SUMIFS($H$4:$H$503,$G$4:$G$503,G280,$F$4:$F$503,"SOLD",$A$4:$A$503,"&lt;&gt;"&amp;A280),"OVER BUDGET","OK"),"INVALID TEAM"))))</f>
        <v/>
      </c>
      <c r="K280" s="1" t="str">
        <f>IF(F280="SOLD",COUNTIF($F$4:F280,"SOLD"),"")</f>
        <v/>
      </c>
      <c r="L280" s="1" t="str">
        <f>IF(F280="UNSOLD",COUNTIF($F$4:F280,"UNSOLD"),"")</f>
        <v/>
      </c>
      <c r="M280" s="1" t="str">
        <f>IF(AND(F280="SOLD",G280='Team View'!$B$3),COUNTIFS($F$4:F280,"SOLD",$G$4:G280,'Team View'!$B$3),"")</f>
        <v/>
      </c>
    </row>
    <row r="281" spans="1:13">
      <c r="A281" s="1" t="str">
        <f t="shared" si="4"/>
        <v/>
      </c>
      <c r="B281" s="1"/>
      <c r="C281" s="1"/>
      <c r="D281" s="1"/>
      <c r="E281" s="7"/>
      <c r="F281" s="1"/>
      <c r="G281" s="1"/>
      <c r="H281" s="7"/>
      <c r="I281" s="1"/>
      <c r="J281" s="1" t="str">
        <f>IF(B281="","",IF(F281&lt;&gt;"SOLD","",IF(OR(G281="",H281=""),"SELECT TEAM &amp; PRICE",IFERROR(IF(H281&gt;INDEX(Teams!$B$4:$B$13,MATCH(G281,Teams!$A$4:$A$13,0))-SUMIFS($H$4:$H$503,$G$4:$G$503,G281,$F$4:$F$503,"SOLD",$A$4:$A$503,"&lt;&gt;"&amp;A281),"OVER BUDGET","OK"),"INVALID TEAM"))))</f>
        <v/>
      </c>
      <c r="K281" s="1" t="str">
        <f>IF(F281="SOLD",COUNTIF($F$4:F281,"SOLD"),"")</f>
        <v/>
      </c>
      <c r="L281" s="1" t="str">
        <f>IF(F281="UNSOLD",COUNTIF($F$4:F281,"UNSOLD"),"")</f>
        <v/>
      </c>
      <c r="M281" s="1" t="str">
        <f>IF(AND(F281="SOLD",G281='Team View'!$B$3),COUNTIFS($F$4:F281,"SOLD",$G$4:G281,'Team View'!$B$3),"")</f>
        <v/>
      </c>
    </row>
    <row r="282" spans="1:13">
      <c r="A282" s="1" t="str">
        <f t="shared" si="4"/>
        <v/>
      </c>
      <c r="B282" s="1"/>
      <c r="C282" s="1"/>
      <c r="D282" s="1"/>
      <c r="E282" s="7"/>
      <c r="F282" s="1"/>
      <c r="G282" s="1"/>
      <c r="H282" s="7"/>
      <c r="I282" s="1"/>
      <c r="J282" s="1" t="str">
        <f>IF(B282="","",IF(F282&lt;&gt;"SOLD","",IF(OR(G282="",H282=""),"SELECT TEAM &amp; PRICE",IFERROR(IF(H282&gt;INDEX(Teams!$B$4:$B$13,MATCH(G282,Teams!$A$4:$A$13,0))-SUMIFS($H$4:$H$503,$G$4:$G$503,G282,$F$4:$F$503,"SOLD",$A$4:$A$503,"&lt;&gt;"&amp;A282),"OVER BUDGET","OK"),"INVALID TEAM"))))</f>
        <v/>
      </c>
      <c r="K282" s="1" t="str">
        <f>IF(F282="SOLD",COUNTIF($F$4:F282,"SOLD"),"")</f>
        <v/>
      </c>
      <c r="L282" s="1" t="str">
        <f>IF(F282="UNSOLD",COUNTIF($F$4:F282,"UNSOLD"),"")</f>
        <v/>
      </c>
      <c r="M282" s="1" t="str">
        <f>IF(AND(F282="SOLD",G282='Team View'!$B$3),COUNTIFS($F$4:F282,"SOLD",$G$4:G282,'Team View'!$B$3),"")</f>
        <v/>
      </c>
    </row>
    <row r="283" spans="1:13">
      <c r="A283" s="1" t="str">
        <f t="shared" si="4"/>
        <v/>
      </c>
      <c r="B283" s="1"/>
      <c r="C283" s="1"/>
      <c r="D283" s="1"/>
      <c r="E283" s="7"/>
      <c r="F283" s="1"/>
      <c r="G283" s="1"/>
      <c r="H283" s="7"/>
      <c r="I283" s="1"/>
      <c r="J283" s="1" t="str">
        <f>IF(B283="","",IF(F283&lt;&gt;"SOLD","",IF(OR(G283="",H283=""),"SELECT TEAM &amp; PRICE",IFERROR(IF(H283&gt;INDEX(Teams!$B$4:$B$13,MATCH(G283,Teams!$A$4:$A$13,0))-SUMIFS($H$4:$H$503,$G$4:$G$503,G283,$F$4:$F$503,"SOLD",$A$4:$A$503,"&lt;&gt;"&amp;A283),"OVER BUDGET","OK"),"INVALID TEAM"))))</f>
        <v/>
      </c>
      <c r="K283" s="1" t="str">
        <f>IF(F283="SOLD",COUNTIF($F$4:F283,"SOLD"),"")</f>
        <v/>
      </c>
      <c r="L283" s="1" t="str">
        <f>IF(F283="UNSOLD",COUNTIF($F$4:F283,"UNSOLD"),"")</f>
        <v/>
      </c>
      <c r="M283" s="1" t="str">
        <f>IF(AND(F283="SOLD",G283='Team View'!$B$3),COUNTIFS($F$4:F283,"SOLD",$G$4:G283,'Team View'!$B$3),"")</f>
        <v/>
      </c>
    </row>
    <row r="284" spans="1:13">
      <c r="A284" s="1" t="str">
        <f t="shared" si="4"/>
        <v/>
      </c>
      <c r="B284" s="1"/>
      <c r="C284" s="1"/>
      <c r="D284" s="1"/>
      <c r="E284" s="7"/>
      <c r="F284" s="1"/>
      <c r="G284" s="1"/>
      <c r="H284" s="7"/>
      <c r="I284" s="1"/>
      <c r="J284" s="1" t="str">
        <f>IF(B284="","",IF(F284&lt;&gt;"SOLD","",IF(OR(G284="",H284=""),"SELECT TEAM &amp; PRICE",IFERROR(IF(H284&gt;INDEX(Teams!$B$4:$B$13,MATCH(G284,Teams!$A$4:$A$13,0))-SUMIFS($H$4:$H$503,$G$4:$G$503,G284,$F$4:$F$503,"SOLD",$A$4:$A$503,"&lt;&gt;"&amp;A284),"OVER BUDGET","OK"),"INVALID TEAM"))))</f>
        <v/>
      </c>
      <c r="K284" s="1" t="str">
        <f>IF(F284="SOLD",COUNTIF($F$4:F284,"SOLD"),"")</f>
        <v/>
      </c>
      <c r="L284" s="1" t="str">
        <f>IF(F284="UNSOLD",COUNTIF($F$4:F284,"UNSOLD"),"")</f>
        <v/>
      </c>
      <c r="M284" s="1" t="str">
        <f>IF(AND(F284="SOLD",G284='Team View'!$B$3),COUNTIFS($F$4:F284,"SOLD",$G$4:G284,'Team View'!$B$3),"")</f>
        <v/>
      </c>
    </row>
    <row r="285" spans="1:13">
      <c r="A285" s="1" t="str">
        <f t="shared" si="4"/>
        <v/>
      </c>
      <c r="B285" s="1"/>
      <c r="C285" s="1"/>
      <c r="D285" s="1"/>
      <c r="E285" s="7"/>
      <c r="F285" s="1"/>
      <c r="G285" s="1"/>
      <c r="H285" s="7"/>
      <c r="I285" s="1"/>
      <c r="J285" s="1" t="str">
        <f>IF(B285="","",IF(F285&lt;&gt;"SOLD","",IF(OR(G285="",H285=""),"SELECT TEAM &amp; PRICE",IFERROR(IF(H285&gt;INDEX(Teams!$B$4:$B$13,MATCH(G285,Teams!$A$4:$A$13,0))-SUMIFS($H$4:$H$503,$G$4:$G$503,G285,$F$4:$F$503,"SOLD",$A$4:$A$503,"&lt;&gt;"&amp;A285),"OVER BUDGET","OK"),"INVALID TEAM"))))</f>
        <v/>
      </c>
      <c r="K285" s="1" t="str">
        <f>IF(F285="SOLD",COUNTIF($F$4:F285,"SOLD"),"")</f>
        <v/>
      </c>
      <c r="L285" s="1" t="str">
        <f>IF(F285="UNSOLD",COUNTIF($F$4:F285,"UNSOLD"),"")</f>
        <v/>
      </c>
      <c r="M285" s="1" t="str">
        <f>IF(AND(F285="SOLD",G285='Team View'!$B$3),COUNTIFS($F$4:F285,"SOLD",$G$4:G285,'Team View'!$B$3),"")</f>
        <v/>
      </c>
    </row>
    <row r="286" spans="1:13">
      <c r="A286" s="1" t="str">
        <f t="shared" si="4"/>
        <v/>
      </c>
      <c r="B286" s="1"/>
      <c r="C286" s="1"/>
      <c r="D286" s="1"/>
      <c r="E286" s="7"/>
      <c r="F286" s="1"/>
      <c r="G286" s="1"/>
      <c r="H286" s="7"/>
      <c r="I286" s="1"/>
      <c r="J286" s="1" t="str">
        <f>IF(B286="","",IF(F286&lt;&gt;"SOLD","",IF(OR(G286="",H286=""),"SELECT TEAM &amp; PRICE",IFERROR(IF(H286&gt;INDEX(Teams!$B$4:$B$13,MATCH(G286,Teams!$A$4:$A$13,0))-SUMIFS($H$4:$H$503,$G$4:$G$503,G286,$F$4:$F$503,"SOLD",$A$4:$A$503,"&lt;&gt;"&amp;A286),"OVER BUDGET","OK"),"INVALID TEAM"))))</f>
        <v/>
      </c>
      <c r="K286" s="1" t="str">
        <f>IF(F286="SOLD",COUNTIF($F$4:F286,"SOLD"),"")</f>
        <v/>
      </c>
      <c r="L286" s="1" t="str">
        <f>IF(F286="UNSOLD",COUNTIF($F$4:F286,"UNSOLD"),"")</f>
        <v/>
      </c>
      <c r="M286" s="1" t="str">
        <f>IF(AND(F286="SOLD",G286='Team View'!$B$3),COUNTIFS($F$4:F286,"SOLD",$G$4:G286,'Team View'!$B$3),"")</f>
        <v/>
      </c>
    </row>
    <row r="287" spans="1:13">
      <c r="A287" s="1" t="str">
        <f t="shared" si="4"/>
        <v/>
      </c>
      <c r="B287" s="1"/>
      <c r="C287" s="1"/>
      <c r="D287" s="1"/>
      <c r="E287" s="7"/>
      <c r="F287" s="1"/>
      <c r="G287" s="1"/>
      <c r="H287" s="7"/>
      <c r="I287" s="1"/>
      <c r="J287" s="1" t="str">
        <f>IF(B287="","",IF(F287&lt;&gt;"SOLD","",IF(OR(G287="",H287=""),"SELECT TEAM &amp; PRICE",IFERROR(IF(H287&gt;INDEX(Teams!$B$4:$B$13,MATCH(G287,Teams!$A$4:$A$13,0))-SUMIFS($H$4:$H$503,$G$4:$G$503,G287,$F$4:$F$503,"SOLD",$A$4:$A$503,"&lt;&gt;"&amp;A287),"OVER BUDGET","OK"),"INVALID TEAM"))))</f>
        <v/>
      </c>
      <c r="K287" s="1" t="str">
        <f>IF(F287="SOLD",COUNTIF($F$4:F287,"SOLD"),"")</f>
        <v/>
      </c>
      <c r="L287" s="1" t="str">
        <f>IF(F287="UNSOLD",COUNTIF($F$4:F287,"UNSOLD"),"")</f>
        <v/>
      </c>
      <c r="M287" s="1" t="str">
        <f>IF(AND(F287="SOLD",G287='Team View'!$B$3),COUNTIFS($F$4:F287,"SOLD",$G$4:G287,'Team View'!$B$3),"")</f>
        <v/>
      </c>
    </row>
    <row r="288" spans="1:13">
      <c r="A288" s="1" t="str">
        <f t="shared" si="4"/>
        <v/>
      </c>
      <c r="B288" s="1"/>
      <c r="C288" s="1"/>
      <c r="D288" s="1"/>
      <c r="E288" s="7"/>
      <c r="F288" s="1"/>
      <c r="G288" s="1"/>
      <c r="H288" s="7"/>
      <c r="I288" s="1"/>
      <c r="J288" s="1" t="str">
        <f>IF(B288="","",IF(F288&lt;&gt;"SOLD","",IF(OR(G288="",H288=""),"SELECT TEAM &amp; PRICE",IFERROR(IF(H288&gt;INDEX(Teams!$B$4:$B$13,MATCH(G288,Teams!$A$4:$A$13,0))-SUMIFS($H$4:$H$503,$G$4:$G$503,G288,$F$4:$F$503,"SOLD",$A$4:$A$503,"&lt;&gt;"&amp;A288),"OVER BUDGET","OK"),"INVALID TEAM"))))</f>
        <v/>
      </c>
      <c r="K288" s="1" t="str">
        <f>IF(F288="SOLD",COUNTIF($F$4:F288,"SOLD"),"")</f>
        <v/>
      </c>
      <c r="L288" s="1" t="str">
        <f>IF(F288="UNSOLD",COUNTIF($F$4:F288,"UNSOLD"),"")</f>
        <v/>
      </c>
      <c r="M288" s="1" t="str">
        <f>IF(AND(F288="SOLD",G288='Team View'!$B$3),COUNTIFS($F$4:F288,"SOLD",$G$4:G288,'Team View'!$B$3),"")</f>
        <v/>
      </c>
    </row>
    <row r="289" spans="1:13">
      <c r="A289" s="1" t="str">
        <f t="shared" si="4"/>
        <v/>
      </c>
      <c r="B289" s="1"/>
      <c r="C289" s="1"/>
      <c r="D289" s="1"/>
      <c r="E289" s="7"/>
      <c r="F289" s="1"/>
      <c r="G289" s="1"/>
      <c r="H289" s="7"/>
      <c r="I289" s="1"/>
      <c r="J289" s="1" t="str">
        <f>IF(B289="","",IF(F289&lt;&gt;"SOLD","",IF(OR(G289="",H289=""),"SELECT TEAM &amp; PRICE",IFERROR(IF(H289&gt;INDEX(Teams!$B$4:$B$13,MATCH(G289,Teams!$A$4:$A$13,0))-SUMIFS($H$4:$H$503,$G$4:$G$503,G289,$F$4:$F$503,"SOLD",$A$4:$A$503,"&lt;&gt;"&amp;A289),"OVER BUDGET","OK"),"INVALID TEAM"))))</f>
        <v/>
      </c>
      <c r="K289" s="1" t="str">
        <f>IF(F289="SOLD",COUNTIF($F$4:F289,"SOLD"),"")</f>
        <v/>
      </c>
      <c r="L289" s="1" t="str">
        <f>IF(F289="UNSOLD",COUNTIF($F$4:F289,"UNSOLD"),"")</f>
        <v/>
      </c>
      <c r="M289" s="1" t="str">
        <f>IF(AND(F289="SOLD",G289='Team View'!$B$3),COUNTIFS($F$4:F289,"SOLD",$G$4:G289,'Team View'!$B$3),"")</f>
        <v/>
      </c>
    </row>
    <row r="290" spans="1:13">
      <c r="A290" s="1" t="str">
        <f t="shared" si="4"/>
        <v/>
      </c>
      <c r="B290" s="1"/>
      <c r="C290" s="1"/>
      <c r="D290" s="1"/>
      <c r="E290" s="7"/>
      <c r="F290" s="1"/>
      <c r="G290" s="1"/>
      <c r="H290" s="7"/>
      <c r="I290" s="1"/>
      <c r="J290" s="1" t="str">
        <f>IF(B290="","",IF(F290&lt;&gt;"SOLD","",IF(OR(G290="",H290=""),"SELECT TEAM &amp; PRICE",IFERROR(IF(H290&gt;INDEX(Teams!$B$4:$B$13,MATCH(G290,Teams!$A$4:$A$13,0))-SUMIFS($H$4:$H$503,$G$4:$G$503,G290,$F$4:$F$503,"SOLD",$A$4:$A$503,"&lt;&gt;"&amp;A290),"OVER BUDGET","OK"),"INVALID TEAM"))))</f>
        <v/>
      </c>
      <c r="K290" s="1" t="str">
        <f>IF(F290="SOLD",COUNTIF($F$4:F290,"SOLD"),"")</f>
        <v/>
      </c>
      <c r="L290" s="1" t="str">
        <f>IF(F290="UNSOLD",COUNTIF($F$4:F290,"UNSOLD"),"")</f>
        <v/>
      </c>
      <c r="M290" s="1" t="str">
        <f>IF(AND(F290="SOLD",G290='Team View'!$B$3),COUNTIFS($F$4:F290,"SOLD",$G$4:G290,'Team View'!$B$3),"")</f>
        <v/>
      </c>
    </row>
    <row r="291" spans="1:13">
      <c r="A291" s="1" t="str">
        <f t="shared" si="4"/>
        <v/>
      </c>
      <c r="B291" s="1"/>
      <c r="C291" s="1"/>
      <c r="D291" s="1"/>
      <c r="E291" s="7"/>
      <c r="F291" s="1"/>
      <c r="G291" s="1"/>
      <c r="H291" s="7"/>
      <c r="I291" s="1"/>
      <c r="J291" s="1" t="str">
        <f>IF(B291="","",IF(F291&lt;&gt;"SOLD","",IF(OR(G291="",H291=""),"SELECT TEAM &amp; PRICE",IFERROR(IF(H291&gt;INDEX(Teams!$B$4:$B$13,MATCH(G291,Teams!$A$4:$A$13,0))-SUMIFS($H$4:$H$503,$G$4:$G$503,G291,$F$4:$F$503,"SOLD",$A$4:$A$503,"&lt;&gt;"&amp;A291),"OVER BUDGET","OK"),"INVALID TEAM"))))</f>
        <v/>
      </c>
      <c r="K291" s="1" t="str">
        <f>IF(F291="SOLD",COUNTIF($F$4:F291,"SOLD"),"")</f>
        <v/>
      </c>
      <c r="L291" s="1" t="str">
        <f>IF(F291="UNSOLD",COUNTIF($F$4:F291,"UNSOLD"),"")</f>
        <v/>
      </c>
      <c r="M291" s="1" t="str">
        <f>IF(AND(F291="SOLD",G291='Team View'!$B$3),COUNTIFS($F$4:F291,"SOLD",$G$4:G291,'Team View'!$B$3),"")</f>
        <v/>
      </c>
    </row>
    <row r="292" spans="1:13">
      <c r="A292" s="1" t="str">
        <f t="shared" si="4"/>
        <v/>
      </c>
      <c r="B292" s="1"/>
      <c r="C292" s="1"/>
      <c r="D292" s="1"/>
      <c r="E292" s="7"/>
      <c r="F292" s="1"/>
      <c r="G292" s="1"/>
      <c r="H292" s="7"/>
      <c r="I292" s="1"/>
      <c r="J292" s="1" t="str">
        <f>IF(B292="","",IF(F292&lt;&gt;"SOLD","",IF(OR(G292="",H292=""),"SELECT TEAM &amp; PRICE",IFERROR(IF(H292&gt;INDEX(Teams!$B$4:$B$13,MATCH(G292,Teams!$A$4:$A$13,0))-SUMIFS($H$4:$H$503,$G$4:$G$503,G292,$F$4:$F$503,"SOLD",$A$4:$A$503,"&lt;&gt;"&amp;A292),"OVER BUDGET","OK"),"INVALID TEAM"))))</f>
        <v/>
      </c>
      <c r="K292" s="1" t="str">
        <f>IF(F292="SOLD",COUNTIF($F$4:F292,"SOLD"),"")</f>
        <v/>
      </c>
      <c r="L292" s="1" t="str">
        <f>IF(F292="UNSOLD",COUNTIF($F$4:F292,"UNSOLD"),"")</f>
        <v/>
      </c>
      <c r="M292" s="1" t="str">
        <f>IF(AND(F292="SOLD",G292='Team View'!$B$3),COUNTIFS($F$4:F292,"SOLD",$G$4:G292,'Team View'!$B$3),"")</f>
        <v/>
      </c>
    </row>
    <row r="293" spans="1:13">
      <c r="A293" s="1" t="str">
        <f t="shared" si="4"/>
        <v/>
      </c>
      <c r="B293" s="1"/>
      <c r="C293" s="1"/>
      <c r="D293" s="1"/>
      <c r="E293" s="7"/>
      <c r="F293" s="1"/>
      <c r="G293" s="1"/>
      <c r="H293" s="7"/>
      <c r="I293" s="1"/>
      <c r="J293" s="1" t="str">
        <f>IF(B293="","",IF(F293&lt;&gt;"SOLD","",IF(OR(G293="",H293=""),"SELECT TEAM &amp; PRICE",IFERROR(IF(H293&gt;INDEX(Teams!$B$4:$B$13,MATCH(G293,Teams!$A$4:$A$13,0))-SUMIFS($H$4:$H$503,$G$4:$G$503,G293,$F$4:$F$503,"SOLD",$A$4:$A$503,"&lt;&gt;"&amp;A293),"OVER BUDGET","OK"),"INVALID TEAM"))))</f>
        <v/>
      </c>
      <c r="K293" s="1" t="str">
        <f>IF(F293="SOLD",COUNTIF($F$4:F293,"SOLD"),"")</f>
        <v/>
      </c>
      <c r="L293" s="1" t="str">
        <f>IF(F293="UNSOLD",COUNTIF($F$4:F293,"UNSOLD"),"")</f>
        <v/>
      </c>
      <c r="M293" s="1" t="str">
        <f>IF(AND(F293="SOLD",G293='Team View'!$B$3),COUNTIFS($F$4:F293,"SOLD",$G$4:G293,'Team View'!$B$3),"")</f>
        <v/>
      </c>
    </row>
    <row r="294" spans="1:13">
      <c r="A294" s="1" t="str">
        <f t="shared" si="4"/>
        <v/>
      </c>
      <c r="B294" s="1"/>
      <c r="C294" s="1"/>
      <c r="D294" s="1"/>
      <c r="E294" s="7"/>
      <c r="F294" s="1"/>
      <c r="G294" s="1"/>
      <c r="H294" s="7"/>
      <c r="I294" s="1"/>
      <c r="J294" s="1" t="str">
        <f>IF(B294="","",IF(F294&lt;&gt;"SOLD","",IF(OR(G294="",H294=""),"SELECT TEAM &amp; PRICE",IFERROR(IF(H294&gt;INDEX(Teams!$B$4:$B$13,MATCH(G294,Teams!$A$4:$A$13,0))-SUMIFS($H$4:$H$503,$G$4:$G$503,G294,$F$4:$F$503,"SOLD",$A$4:$A$503,"&lt;&gt;"&amp;A294),"OVER BUDGET","OK"),"INVALID TEAM"))))</f>
        <v/>
      </c>
      <c r="K294" s="1" t="str">
        <f>IF(F294="SOLD",COUNTIF($F$4:F294,"SOLD"),"")</f>
        <v/>
      </c>
      <c r="L294" s="1" t="str">
        <f>IF(F294="UNSOLD",COUNTIF($F$4:F294,"UNSOLD"),"")</f>
        <v/>
      </c>
      <c r="M294" s="1" t="str">
        <f>IF(AND(F294="SOLD",G294='Team View'!$B$3),COUNTIFS($F$4:F294,"SOLD",$G$4:G294,'Team View'!$B$3),"")</f>
        <v/>
      </c>
    </row>
    <row r="295" spans="1:13">
      <c r="A295" s="1" t="str">
        <f t="shared" si="4"/>
        <v/>
      </c>
      <c r="B295" s="1"/>
      <c r="C295" s="1"/>
      <c r="D295" s="1"/>
      <c r="E295" s="7"/>
      <c r="F295" s="1"/>
      <c r="G295" s="1"/>
      <c r="H295" s="7"/>
      <c r="I295" s="1"/>
      <c r="J295" s="1" t="str">
        <f>IF(B295="","",IF(F295&lt;&gt;"SOLD","",IF(OR(G295="",H295=""),"SELECT TEAM &amp; PRICE",IFERROR(IF(H295&gt;INDEX(Teams!$B$4:$B$13,MATCH(G295,Teams!$A$4:$A$13,0))-SUMIFS($H$4:$H$503,$G$4:$G$503,G295,$F$4:$F$503,"SOLD",$A$4:$A$503,"&lt;&gt;"&amp;A295),"OVER BUDGET","OK"),"INVALID TEAM"))))</f>
        <v/>
      </c>
      <c r="K295" s="1" t="str">
        <f>IF(F295="SOLD",COUNTIF($F$4:F295,"SOLD"),"")</f>
        <v/>
      </c>
      <c r="L295" s="1" t="str">
        <f>IF(F295="UNSOLD",COUNTIF($F$4:F295,"UNSOLD"),"")</f>
        <v/>
      </c>
      <c r="M295" s="1" t="str">
        <f>IF(AND(F295="SOLD",G295='Team View'!$B$3),COUNTIFS($F$4:F295,"SOLD",$G$4:G295,'Team View'!$B$3),"")</f>
        <v/>
      </c>
    </row>
    <row r="296" spans="1:13">
      <c r="A296" s="1" t="str">
        <f t="shared" si="4"/>
        <v/>
      </c>
      <c r="B296" s="1"/>
      <c r="C296" s="1"/>
      <c r="D296" s="1"/>
      <c r="E296" s="7"/>
      <c r="F296" s="1"/>
      <c r="G296" s="1"/>
      <c r="H296" s="7"/>
      <c r="I296" s="1"/>
      <c r="J296" s="1" t="str">
        <f>IF(B296="","",IF(F296&lt;&gt;"SOLD","",IF(OR(G296="",H296=""),"SELECT TEAM &amp; PRICE",IFERROR(IF(H296&gt;INDEX(Teams!$B$4:$B$13,MATCH(G296,Teams!$A$4:$A$13,0))-SUMIFS($H$4:$H$503,$G$4:$G$503,G296,$F$4:$F$503,"SOLD",$A$4:$A$503,"&lt;&gt;"&amp;A296),"OVER BUDGET","OK"),"INVALID TEAM"))))</f>
        <v/>
      </c>
      <c r="K296" s="1" t="str">
        <f>IF(F296="SOLD",COUNTIF($F$4:F296,"SOLD"),"")</f>
        <v/>
      </c>
      <c r="L296" s="1" t="str">
        <f>IF(F296="UNSOLD",COUNTIF($F$4:F296,"UNSOLD"),"")</f>
        <v/>
      </c>
      <c r="M296" s="1" t="str">
        <f>IF(AND(F296="SOLD",G296='Team View'!$B$3),COUNTIFS($F$4:F296,"SOLD",$G$4:G296,'Team View'!$B$3),"")</f>
        <v/>
      </c>
    </row>
    <row r="297" spans="1:13">
      <c r="A297" s="1" t="str">
        <f t="shared" si="4"/>
        <v/>
      </c>
      <c r="B297" s="1"/>
      <c r="C297" s="1"/>
      <c r="D297" s="1"/>
      <c r="E297" s="7"/>
      <c r="F297" s="1"/>
      <c r="G297" s="1"/>
      <c r="H297" s="7"/>
      <c r="I297" s="1"/>
      <c r="J297" s="1" t="str">
        <f>IF(B297="","",IF(F297&lt;&gt;"SOLD","",IF(OR(G297="",H297=""),"SELECT TEAM &amp; PRICE",IFERROR(IF(H297&gt;INDEX(Teams!$B$4:$B$13,MATCH(G297,Teams!$A$4:$A$13,0))-SUMIFS($H$4:$H$503,$G$4:$G$503,G297,$F$4:$F$503,"SOLD",$A$4:$A$503,"&lt;&gt;"&amp;A297),"OVER BUDGET","OK"),"INVALID TEAM"))))</f>
        <v/>
      </c>
      <c r="K297" s="1" t="str">
        <f>IF(F297="SOLD",COUNTIF($F$4:F297,"SOLD"),"")</f>
        <v/>
      </c>
      <c r="L297" s="1" t="str">
        <f>IF(F297="UNSOLD",COUNTIF($F$4:F297,"UNSOLD"),"")</f>
        <v/>
      </c>
      <c r="M297" s="1" t="str">
        <f>IF(AND(F297="SOLD",G297='Team View'!$B$3),COUNTIFS($F$4:F297,"SOLD",$G$4:G297,'Team View'!$B$3),"")</f>
        <v/>
      </c>
    </row>
    <row r="298" spans="1:13">
      <c r="A298" s="1" t="str">
        <f t="shared" si="4"/>
        <v/>
      </c>
      <c r="B298" s="1"/>
      <c r="C298" s="1"/>
      <c r="D298" s="1"/>
      <c r="E298" s="7"/>
      <c r="F298" s="1"/>
      <c r="G298" s="1"/>
      <c r="H298" s="7"/>
      <c r="I298" s="1"/>
      <c r="J298" s="1" t="str">
        <f>IF(B298="","",IF(F298&lt;&gt;"SOLD","",IF(OR(G298="",H298=""),"SELECT TEAM &amp; PRICE",IFERROR(IF(H298&gt;INDEX(Teams!$B$4:$B$13,MATCH(G298,Teams!$A$4:$A$13,0))-SUMIFS($H$4:$H$503,$G$4:$G$503,G298,$F$4:$F$503,"SOLD",$A$4:$A$503,"&lt;&gt;"&amp;A298),"OVER BUDGET","OK"),"INVALID TEAM"))))</f>
        <v/>
      </c>
      <c r="K298" s="1" t="str">
        <f>IF(F298="SOLD",COUNTIF($F$4:F298,"SOLD"),"")</f>
        <v/>
      </c>
      <c r="L298" s="1" t="str">
        <f>IF(F298="UNSOLD",COUNTIF($F$4:F298,"UNSOLD"),"")</f>
        <v/>
      </c>
      <c r="M298" s="1" t="str">
        <f>IF(AND(F298="SOLD",G298='Team View'!$B$3),COUNTIFS($F$4:F298,"SOLD",$G$4:G298,'Team View'!$B$3),"")</f>
        <v/>
      </c>
    </row>
    <row r="299" spans="1:13">
      <c r="A299" s="1" t="str">
        <f t="shared" si="4"/>
        <v/>
      </c>
      <c r="B299" s="1"/>
      <c r="C299" s="1"/>
      <c r="D299" s="1"/>
      <c r="E299" s="7"/>
      <c r="F299" s="1"/>
      <c r="G299" s="1"/>
      <c r="H299" s="7"/>
      <c r="I299" s="1"/>
      <c r="J299" s="1" t="str">
        <f>IF(B299="","",IF(F299&lt;&gt;"SOLD","",IF(OR(G299="",H299=""),"SELECT TEAM &amp; PRICE",IFERROR(IF(H299&gt;INDEX(Teams!$B$4:$B$13,MATCH(G299,Teams!$A$4:$A$13,0))-SUMIFS($H$4:$H$503,$G$4:$G$503,G299,$F$4:$F$503,"SOLD",$A$4:$A$503,"&lt;&gt;"&amp;A299),"OVER BUDGET","OK"),"INVALID TEAM"))))</f>
        <v/>
      </c>
      <c r="K299" s="1" t="str">
        <f>IF(F299="SOLD",COUNTIF($F$4:F299,"SOLD"),"")</f>
        <v/>
      </c>
      <c r="L299" s="1" t="str">
        <f>IF(F299="UNSOLD",COUNTIF($F$4:F299,"UNSOLD"),"")</f>
        <v/>
      </c>
      <c r="M299" s="1" t="str">
        <f>IF(AND(F299="SOLD",G299='Team View'!$B$3),COUNTIFS($F$4:F299,"SOLD",$G$4:G299,'Team View'!$B$3),"")</f>
        <v/>
      </c>
    </row>
    <row r="300" spans="1:13">
      <c r="A300" s="1" t="str">
        <f t="shared" si="4"/>
        <v/>
      </c>
      <c r="B300" s="1"/>
      <c r="C300" s="1"/>
      <c r="D300" s="1"/>
      <c r="E300" s="7"/>
      <c r="F300" s="1"/>
      <c r="G300" s="1"/>
      <c r="H300" s="7"/>
      <c r="I300" s="1"/>
      <c r="J300" s="1" t="str">
        <f>IF(B300="","",IF(F300&lt;&gt;"SOLD","",IF(OR(G300="",H300=""),"SELECT TEAM &amp; PRICE",IFERROR(IF(H300&gt;INDEX(Teams!$B$4:$B$13,MATCH(G300,Teams!$A$4:$A$13,0))-SUMIFS($H$4:$H$503,$G$4:$G$503,G300,$F$4:$F$503,"SOLD",$A$4:$A$503,"&lt;&gt;"&amp;A300),"OVER BUDGET","OK"),"INVALID TEAM"))))</f>
        <v/>
      </c>
      <c r="K300" s="1" t="str">
        <f>IF(F300="SOLD",COUNTIF($F$4:F300,"SOLD"),"")</f>
        <v/>
      </c>
      <c r="L300" s="1" t="str">
        <f>IF(F300="UNSOLD",COUNTIF($F$4:F300,"UNSOLD"),"")</f>
        <v/>
      </c>
      <c r="M300" s="1" t="str">
        <f>IF(AND(F300="SOLD",G300='Team View'!$B$3),COUNTIFS($F$4:F300,"SOLD",$G$4:G300,'Team View'!$B$3),"")</f>
        <v/>
      </c>
    </row>
    <row r="301" spans="1:13">
      <c r="A301" s="1" t="str">
        <f t="shared" si="4"/>
        <v/>
      </c>
      <c r="B301" s="1"/>
      <c r="C301" s="1"/>
      <c r="D301" s="1"/>
      <c r="E301" s="7"/>
      <c r="F301" s="1"/>
      <c r="G301" s="1"/>
      <c r="H301" s="7"/>
      <c r="I301" s="1"/>
      <c r="J301" s="1" t="str">
        <f>IF(B301="","",IF(F301&lt;&gt;"SOLD","",IF(OR(G301="",H301=""),"SELECT TEAM &amp; PRICE",IFERROR(IF(H301&gt;INDEX(Teams!$B$4:$B$13,MATCH(G301,Teams!$A$4:$A$13,0))-SUMIFS($H$4:$H$503,$G$4:$G$503,G301,$F$4:$F$503,"SOLD",$A$4:$A$503,"&lt;&gt;"&amp;A301),"OVER BUDGET","OK"),"INVALID TEAM"))))</f>
        <v/>
      </c>
      <c r="K301" s="1" t="str">
        <f>IF(F301="SOLD",COUNTIF($F$4:F301,"SOLD"),"")</f>
        <v/>
      </c>
      <c r="L301" s="1" t="str">
        <f>IF(F301="UNSOLD",COUNTIF($F$4:F301,"UNSOLD"),"")</f>
        <v/>
      </c>
      <c r="M301" s="1" t="str">
        <f>IF(AND(F301="SOLD",G301='Team View'!$B$3),COUNTIFS($F$4:F301,"SOLD",$G$4:G301,'Team View'!$B$3),"")</f>
        <v/>
      </c>
    </row>
    <row r="302" spans="1:13">
      <c r="A302" s="1" t="str">
        <f t="shared" si="4"/>
        <v/>
      </c>
      <c r="B302" s="1"/>
      <c r="C302" s="1"/>
      <c r="D302" s="1"/>
      <c r="E302" s="7"/>
      <c r="F302" s="1"/>
      <c r="G302" s="1"/>
      <c r="H302" s="7"/>
      <c r="I302" s="1"/>
      <c r="J302" s="1" t="str">
        <f>IF(B302="","",IF(F302&lt;&gt;"SOLD","",IF(OR(G302="",H302=""),"SELECT TEAM &amp; PRICE",IFERROR(IF(H302&gt;INDEX(Teams!$B$4:$B$13,MATCH(G302,Teams!$A$4:$A$13,0))-SUMIFS($H$4:$H$503,$G$4:$G$503,G302,$F$4:$F$503,"SOLD",$A$4:$A$503,"&lt;&gt;"&amp;A302),"OVER BUDGET","OK"),"INVALID TEAM"))))</f>
        <v/>
      </c>
      <c r="K302" s="1" t="str">
        <f>IF(F302="SOLD",COUNTIF($F$4:F302,"SOLD"),"")</f>
        <v/>
      </c>
      <c r="L302" s="1" t="str">
        <f>IF(F302="UNSOLD",COUNTIF($F$4:F302,"UNSOLD"),"")</f>
        <v/>
      </c>
      <c r="M302" s="1" t="str">
        <f>IF(AND(F302="SOLD",G302='Team View'!$B$3),COUNTIFS($F$4:F302,"SOLD",$G$4:G302,'Team View'!$B$3),"")</f>
        <v/>
      </c>
    </row>
    <row r="303" spans="1:13">
      <c r="A303" s="1" t="str">
        <f t="shared" si="4"/>
        <v/>
      </c>
      <c r="B303" s="1"/>
      <c r="C303" s="1"/>
      <c r="D303" s="1"/>
      <c r="E303" s="7"/>
      <c r="F303" s="1"/>
      <c r="G303" s="1"/>
      <c r="H303" s="7"/>
      <c r="I303" s="1"/>
      <c r="J303" s="1" t="str">
        <f>IF(B303="","",IF(F303&lt;&gt;"SOLD","",IF(OR(G303="",H303=""),"SELECT TEAM &amp; PRICE",IFERROR(IF(H303&gt;INDEX(Teams!$B$4:$B$13,MATCH(G303,Teams!$A$4:$A$13,0))-SUMIFS($H$4:$H$503,$G$4:$G$503,G303,$F$4:$F$503,"SOLD",$A$4:$A$503,"&lt;&gt;"&amp;A303),"OVER BUDGET","OK"),"INVALID TEAM"))))</f>
        <v/>
      </c>
      <c r="K303" s="1" t="str">
        <f>IF(F303="SOLD",COUNTIF($F$4:F303,"SOLD"),"")</f>
        <v/>
      </c>
      <c r="L303" s="1" t="str">
        <f>IF(F303="UNSOLD",COUNTIF($F$4:F303,"UNSOLD"),"")</f>
        <v/>
      </c>
      <c r="M303" s="1" t="str">
        <f>IF(AND(F303="SOLD",G303='Team View'!$B$3),COUNTIFS($F$4:F303,"SOLD",$G$4:G303,'Team View'!$B$3),"")</f>
        <v/>
      </c>
    </row>
    <row r="304" spans="1:13">
      <c r="A304" s="1" t="str">
        <f t="shared" si="4"/>
        <v/>
      </c>
      <c r="B304" s="1"/>
      <c r="C304" s="1"/>
      <c r="D304" s="1"/>
      <c r="E304" s="7"/>
      <c r="F304" s="1"/>
      <c r="G304" s="1"/>
      <c r="H304" s="7"/>
      <c r="I304" s="1"/>
      <c r="J304" s="1" t="str">
        <f>IF(B304="","",IF(F304&lt;&gt;"SOLD","",IF(OR(G304="",H304=""),"SELECT TEAM &amp; PRICE",IFERROR(IF(H304&gt;INDEX(Teams!$B$4:$B$13,MATCH(G304,Teams!$A$4:$A$13,0))-SUMIFS($H$4:$H$503,$G$4:$G$503,G304,$F$4:$F$503,"SOLD",$A$4:$A$503,"&lt;&gt;"&amp;A304),"OVER BUDGET","OK"),"INVALID TEAM"))))</f>
        <v/>
      </c>
      <c r="K304" s="1" t="str">
        <f>IF(F304="SOLD",COUNTIF($F$4:F304,"SOLD"),"")</f>
        <v/>
      </c>
      <c r="L304" s="1" t="str">
        <f>IF(F304="UNSOLD",COUNTIF($F$4:F304,"UNSOLD"),"")</f>
        <v/>
      </c>
      <c r="M304" s="1" t="str">
        <f>IF(AND(F304="SOLD",G304='Team View'!$B$3),COUNTIFS($F$4:F304,"SOLD",$G$4:G304,'Team View'!$B$3),"")</f>
        <v/>
      </c>
    </row>
    <row r="305" spans="1:13">
      <c r="A305" s="1" t="str">
        <f t="shared" si="4"/>
        <v/>
      </c>
      <c r="B305" s="1"/>
      <c r="C305" s="1"/>
      <c r="D305" s="1"/>
      <c r="E305" s="7"/>
      <c r="F305" s="1"/>
      <c r="G305" s="1"/>
      <c r="H305" s="7"/>
      <c r="I305" s="1"/>
      <c r="J305" s="1" t="str">
        <f>IF(B305="","",IF(F305&lt;&gt;"SOLD","",IF(OR(G305="",H305=""),"SELECT TEAM &amp; PRICE",IFERROR(IF(H305&gt;INDEX(Teams!$B$4:$B$13,MATCH(G305,Teams!$A$4:$A$13,0))-SUMIFS($H$4:$H$503,$G$4:$G$503,G305,$F$4:$F$503,"SOLD",$A$4:$A$503,"&lt;&gt;"&amp;A305),"OVER BUDGET","OK"),"INVALID TEAM"))))</f>
        <v/>
      </c>
      <c r="K305" s="1" t="str">
        <f>IF(F305="SOLD",COUNTIF($F$4:F305,"SOLD"),"")</f>
        <v/>
      </c>
      <c r="L305" s="1" t="str">
        <f>IF(F305="UNSOLD",COUNTIF($F$4:F305,"UNSOLD"),"")</f>
        <v/>
      </c>
      <c r="M305" s="1" t="str">
        <f>IF(AND(F305="SOLD",G305='Team View'!$B$3),COUNTIFS($F$4:F305,"SOLD",$G$4:G305,'Team View'!$B$3),"")</f>
        <v/>
      </c>
    </row>
    <row r="306" spans="1:13">
      <c r="A306" s="1" t="str">
        <f t="shared" si="4"/>
        <v/>
      </c>
      <c r="B306" s="1"/>
      <c r="C306" s="1"/>
      <c r="D306" s="1"/>
      <c r="E306" s="7"/>
      <c r="F306" s="1"/>
      <c r="G306" s="1"/>
      <c r="H306" s="7"/>
      <c r="I306" s="1"/>
      <c r="J306" s="1" t="str">
        <f>IF(B306="","",IF(F306&lt;&gt;"SOLD","",IF(OR(G306="",H306=""),"SELECT TEAM &amp; PRICE",IFERROR(IF(H306&gt;INDEX(Teams!$B$4:$B$13,MATCH(G306,Teams!$A$4:$A$13,0))-SUMIFS($H$4:$H$503,$G$4:$G$503,G306,$F$4:$F$503,"SOLD",$A$4:$A$503,"&lt;&gt;"&amp;A306),"OVER BUDGET","OK"),"INVALID TEAM"))))</f>
        <v/>
      </c>
      <c r="K306" s="1" t="str">
        <f>IF(F306="SOLD",COUNTIF($F$4:F306,"SOLD"),"")</f>
        <v/>
      </c>
      <c r="L306" s="1" t="str">
        <f>IF(F306="UNSOLD",COUNTIF($F$4:F306,"UNSOLD"),"")</f>
        <v/>
      </c>
      <c r="M306" s="1" t="str">
        <f>IF(AND(F306="SOLD",G306='Team View'!$B$3),COUNTIFS($F$4:F306,"SOLD",$G$4:G306,'Team View'!$B$3),"")</f>
        <v/>
      </c>
    </row>
    <row r="307" spans="1:13">
      <c r="A307" s="1" t="str">
        <f t="shared" si="4"/>
        <v/>
      </c>
      <c r="B307" s="1"/>
      <c r="C307" s="1"/>
      <c r="D307" s="1"/>
      <c r="E307" s="7"/>
      <c r="F307" s="1"/>
      <c r="G307" s="1"/>
      <c r="H307" s="7"/>
      <c r="I307" s="1"/>
      <c r="J307" s="1" t="str">
        <f>IF(B307="","",IF(F307&lt;&gt;"SOLD","",IF(OR(G307="",H307=""),"SELECT TEAM &amp; PRICE",IFERROR(IF(H307&gt;INDEX(Teams!$B$4:$B$13,MATCH(G307,Teams!$A$4:$A$13,0))-SUMIFS($H$4:$H$503,$G$4:$G$503,G307,$F$4:$F$503,"SOLD",$A$4:$A$503,"&lt;&gt;"&amp;A307),"OVER BUDGET","OK"),"INVALID TEAM"))))</f>
        <v/>
      </c>
      <c r="K307" s="1" t="str">
        <f>IF(F307="SOLD",COUNTIF($F$4:F307,"SOLD"),"")</f>
        <v/>
      </c>
      <c r="L307" s="1" t="str">
        <f>IF(F307="UNSOLD",COUNTIF($F$4:F307,"UNSOLD"),"")</f>
        <v/>
      </c>
      <c r="M307" s="1" t="str">
        <f>IF(AND(F307="SOLD",G307='Team View'!$B$3),COUNTIFS($F$4:F307,"SOLD",$G$4:G307,'Team View'!$B$3),"")</f>
        <v/>
      </c>
    </row>
    <row r="308" spans="1:13">
      <c r="A308" s="1" t="str">
        <f t="shared" si="4"/>
        <v/>
      </c>
      <c r="B308" s="1"/>
      <c r="C308" s="1"/>
      <c r="D308" s="1"/>
      <c r="E308" s="7"/>
      <c r="F308" s="1"/>
      <c r="G308" s="1"/>
      <c r="H308" s="7"/>
      <c r="I308" s="1"/>
      <c r="J308" s="1" t="str">
        <f>IF(B308="","",IF(F308&lt;&gt;"SOLD","",IF(OR(G308="",H308=""),"SELECT TEAM &amp; PRICE",IFERROR(IF(H308&gt;INDEX(Teams!$B$4:$B$13,MATCH(G308,Teams!$A$4:$A$13,0))-SUMIFS($H$4:$H$503,$G$4:$G$503,G308,$F$4:$F$503,"SOLD",$A$4:$A$503,"&lt;&gt;"&amp;A308),"OVER BUDGET","OK"),"INVALID TEAM"))))</f>
        <v/>
      </c>
      <c r="K308" s="1" t="str">
        <f>IF(F308="SOLD",COUNTIF($F$4:F308,"SOLD"),"")</f>
        <v/>
      </c>
      <c r="L308" s="1" t="str">
        <f>IF(F308="UNSOLD",COUNTIF($F$4:F308,"UNSOLD"),"")</f>
        <v/>
      </c>
      <c r="M308" s="1" t="str">
        <f>IF(AND(F308="SOLD",G308='Team View'!$B$3),COUNTIFS($F$4:F308,"SOLD",$G$4:G308,'Team View'!$B$3),"")</f>
        <v/>
      </c>
    </row>
    <row r="309" spans="1:13">
      <c r="A309" s="1" t="str">
        <f t="shared" si="4"/>
        <v/>
      </c>
      <c r="B309" s="1"/>
      <c r="C309" s="1"/>
      <c r="D309" s="1"/>
      <c r="E309" s="7"/>
      <c r="F309" s="1"/>
      <c r="G309" s="1"/>
      <c r="H309" s="7"/>
      <c r="I309" s="1"/>
      <c r="J309" s="1" t="str">
        <f>IF(B309="","",IF(F309&lt;&gt;"SOLD","",IF(OR(G309="",H309=""),"SELECT TEAM &amp; PRICE",IFERROR(IF(H309&gt;INDEX(Teams!$B$4:$B$13,MATCH(G309,Teams!$A$4:$A$13,0))-SUMIFS($H$4:$H$503,$G$4:$G$503,G309,$F$4:$F$503,"SOLD",$A$4:$A$503,"&lt;&gt;"&amp;A309),"OVER BUDGET","OK"),"INVALID TEAM"))))</f>
        <v/>
      </c>
      <c r="K309" s="1" t="str">
        <f>IF(F309="SOLD",COUNTIF($F$4:F309,"SOLD"),"")</f>
        <v/>
      </c>
      <c r="L309" s="1" t="str">
        <f>IF(F309="UNSOLD",COUNTIF($F$4:F309,"UNSOLD"),"")</f>
        <v/>
      </c>
      <c r="M309" s="1" t="str">
        <f>IF(AND(F309="SOLD",G309='Team View'!$B$3),COUNTIFS($F$4:F309,"SOLD",$G$4:G309,'Team View'!$B$3),"")</f>
        <v/>
      </c>
    </row>
    <row r="310" spans="1:13">
      <c r="A310" s="1" t="str">
        <f t="shared" si="4"/>
        <v/>
      </c>
      <c r="B310" s="1"/>
      <c r="C310" s="1"/>
      <c r="D310" s="1"/>
      <c r="E310" s="7"/>
      <c r="F310" s="1"/>
      <c r="G310" s="1"/>
      <c r="H310" s="7"/>
      <c r="I310" s="1"/>
      <c r="J310" s="1" t="str">
        <f>IF(B310="","",IF(F310&lt;&gt;"SOLD","",IF(OR(G310="",H310=""),"SELECT TEAM &amp; PRICE",IFERROR(IF(H310&gt;INDEX(Teams!$B$4:$B$13,MATCH(G310,Teams!$A$4:$A$13,0))-SUMIFS($H$4:$H$503,$G$4:$G$503,G310,$F$4:$F$503,"SOLD",$A$4:$A$503,"&lt;&gt;"&amp;A310),"OVER BUDGET","OK"),"INVALID TEAM"))))</f>
        <v/>
      </c>
      <c r="K310" s="1" t="str">
        <f>IF(F310="SOLD",COUNTIF($F$4:F310,"SOLD"),"")</f>
        <v/>
      </c>
      <c r="L310" s="1" t="str">
        <f>IF(F310="UNSOLD",COUNTIF($F$4:F310,"UNSOLD"),"")</f>
        <v/>
      </c>
      <c r="M310" s="1" t="str">
        <f>IF(AND(F310="SOLD",G310='Team View'!$B$3),COUNTIFS($F$4:F310,"SOLD",$G$4:G310,'Team View'!$B$3),"")</f>
        <v/>
      </c>
    </row>
    <row r="311" spans="1:13">
      <c r="A311" s="1" t="str">
        <f t="shared" si="4"/>
        <v/>
      </c>
      <c r="B311" s="1"/>
      <c r="C311" s="1"/>
      <c r="D311" s="1"/>
      <c r="E311" s="7"/>
      <c r="F311" s="1"/>
      <c r="G311" s="1"/>
      <c r="H311" s="7"/>
      <c r="I311" s="1"/>
      <c r="J311" s="1" t="str">
        <f>IF(B311="","",IF(F311&lt;&gt;"SOLD","",IF(OR(G311="",H311=""),"SELECT TEAM &amp; PRICE",IFERROR(IF(H311&gt;INDEX(Teams!$B$4:$B$13,MATCH(G311,Teams!$A$4:$A$13,0))-SUMIFS($H$4:$H$503,$G$4:$G$503,G311,$F$4:$F$503,"SOLD",$A$4:$A$503,"&lt;&gt;"&amp;A311),"OVER BUDGET","OK"),"INVALID TEAM"))))</f>
        <v/>
      </c>
      <c r="K311" s="1" t="str">
        <f>IF(F311="SOLD",COUNTIF($F$4:F311,"SOLD"),"")</f>
        <v/>
      </c>
      <c r="L311" s="1" t="str">
        <f>IF(F311="UNSOLD",COUNTIF($F$4:F311,"UNSOLD"),"")</f>
        <v/>
      </c>
      <c r="M311" s="1" t="str">
        <f>IF(AND(F311="SOLD",G311='Team View'!$B$3),COUNTIFS($F$4:F311,"SOLD",$G$4:G311,'Team View'!$B$3),"")</f>
        <v/>
      </c>
    </row>
    <row r="312" spans="1:13">
      <c r="A312" s="1" t="str">
        <f t="shared" si="4"/>
        <v/>
      </c>
      <c r="B312" s="1"/>
      <c r="C312" s="1"/>
      <c r="D312" s="1"/>
      <c r="E312" s="7"/>
      <c r="F312" s="1"/>
      <c r="G312" s="1"/>
      <c r="H312" s="7"/>
      <c r="I312" s="1"/>
      <c r="J312" s="1" t="str">
        <f>IF(B312="","",IF(F312&lt;&gt;"SOLD","",IF(OR(G312="",H312=""),"SELECT TEAM &amp; PRICE",IFERROR(IF(H312&gt;INDEX(Teams!$B$4:$B$13,MATCH(G312,Teams!$A$4:$A$13,0))-SUMIFS($H$4:$H$503,$G$4:$G$503,G312,$F$4:$F$503,"SOLD",$A$4:$A$503,"&lt;&gt;"&amp;A312),"OVER BUDGET","OK"),"INVALID TEAM"))))</f>
        <v/>
      </c>
      <c r="K312" s="1" t="str">
        <f>IF(F312="SOLD",COUNTIF($F$4:F312,"SOLD"),"")</f>
        <v/>
      </c>
      <c r="L312" s="1" t="str">
        <f>IF(F312="UNSOLD",COUNTIF($F$4:F312,"UNSOLD"),"")</f>
        <v/>
      </c>
      <c r="M312" s="1" t="str">
        <f>IF(AND(F312="SOLD",G312='Team View'!$B$3),COUNTIFS($F$4:F312,"SOLD",$G$4:G312,'Team View'!$B$3),"")</f>
        <v/>
      </c>
    </row>
    <row r="313" spans="1:13">
      <c r="A313" s="1" t="str">
        <f t="shared" si="4"/>
        <v/>
      </c>
      <c r="B313" s="1"/>
      <c r="C313" s="1"/>
      <c r="D313" s="1"/>
      <c r="E313" s="7"/>
      <c r="F313" s="1"/>
      <c r="G313" s="1"/>
      <c r="H313" s="7"/>
      <c r="I313" s="1"/>
      <c r="J313" s="1" t="str">
        <f>IF(B313="","",IF(F313&lt;&gt;"SOLD","",IF(OR(G313="",H313=""),"SELECT TEAM &amp; PRICE",IFERROR(IF(H313&gt;INDEX(Teams!$B$4:$B$13,MATCH(G313,Teams!$A$4:$A$13,0))-SUMIFS($H$4:$H$503,$G$4:$G$503,G313,$F$4:$F$503,"SOLD",$A$4:$A$503,"&lt;&gt;"&amp;A313),"OVER BUDGET","OK"),"INVALID TEAM"))))</f>
        <v/>
      </c>
      <c r="K313" s="1" t="str">
        <f>IF(F313="SOLD",COUNTIF($F$4:F313,"SOLD"),"")</f>
        <v/>
      </c>
      <c r="L313" s="1" t="str">
        <f>IF(F313="UNSOLD",COUNTIF($F$4:F313,"UNSOLD"),"")</f>
        <v/>
      </c>
      <c r="M313" s="1" t="str">
        <f>IF(AND(F313="SOLD",G313='Team View'!$B$3),COUNTIFS($F$4:F313,"SOLD",$G$4:G313,'Team View'!$B$3),"")</f>
        <v/>
      </c>
    </row>
    <row r="314" spans="1:13">
      <c r="A314" s="1" t="str">
        <f t="shared" si="4"/>
        <v/>
      </c>
      <c r="B314" s="1"/>
      <c r="C314" s="1"/>
      <c r="D314" s="1"/>
      <c r="E314" s="7"/>
      <c r="F314" s="1"/>
      <c r="G314" s="1"/>
      <c r="H314" s="7"/>
      <c r="I314" s="1"/>
      <c r="J314" s="1" t="str">
        <f>IF(B314="","",IF(F314&lt;&gt;"SOLD","",IF(OR(G314="",H314=""),"SELECT TEAM &amp; PRICE",IFERROR(IF(H314&gt;INDEX(Teams!$B$4:$B$13,MATCH(G314,Teams!$A$4:$A$13,0))-SUMIFS($H$4:$H$503,$G$4:$G$503,G314,$F$4:$F$503,"SOLD",$A$4:$A$503,"&lt;&gt;"&amp;A314),"OVER BUDGET","OK"),"INVALID TEAM"))))</f>
        <v/>
      </c>
      <c r="K314" s="1" t="str">
        <f>IF(F314="SOLD",COUNTIF($F$4:F314,"SOLD"),"")</f>
        <v/>
      </c>
      <c r="L314" s="1" t="str">
        <f>IF(F314="UNSOLD",COUNTIF($F$4:F314,"UNSOLD"),"")</f>
        <v/>
      </c>
      <c r="M314" s="1" t="str">
        <f>IF(AND(F314="SOLD",G314='Team View'!$B$3),COUNTIFS($F$4:F314,"SOLD",$G$4:G314,'Team View'!$B$3),"")</f>
        <v/>
      </c>
    </row>
    <row r="315" spans="1:13">
      <c r="A315" s="1" t="str">
        <f t="shared" si="4"/>
        <v/>
      </c>
      <c r="B315" s="1"/>
      <c r="C315" s="1"/>
      <c r="D315" s="1"/>
      <c r="E315" s="7"/>
      <c r="F315" s="1"/>
      <c r="G315" s="1"/>
      <c r="H315" s="7"/>
      <c r="I315" s="1"/>
      <c r="J315" s="1" t="str">
        <f>IF(B315="","",IF(F315&lt;&gt;"SOLD","",IF(OR(G315="",H315=""),"SELECT TEAM &amp; PRICE",IFERROR(IF(H315&gt;INDEX(Teams!$B$4:$B$13,MATCH(G315,Teams!$A$4:$A$13,0))-SUMIFS($H$4:$H$503,$G$4:$G$503,G315,$F$4:$F$503,"SOLD",$A$4:$A$503,"&lt;&gt;"&amp;A315),"OVER BUDGET","OK"),"INVALID TEAM"))))</f>
        <v/>
      </c>
      <c r="K315" s="1" t="str">
        <f>IF(F315="SOLD",COUNTIF($F$4:F315,"SOLD"),"")</f>
        <v/>
      </c>
      <c r="L315" s="1" t="str">
        <f>IF(F315="UNSOLD",COUNTIF($F$4:F315,"UNSOLD"),"")</f>
        <v/>
      </c>
      <c r="M315" s="1" t="str">
        <f>IF(AND(F315="SOLD",G315='Team View'!$B$3),COUNTIFS($F$4:F315,"SOLD",$G$4:G315,'Team View'!$B$3),"")</f>
        <v/>
      </c>
    </row>
    <row r="316" spans="1:13">
      <c r="A316" s="1" t="str">
        <f t="shared" si="4"/>
        <v/>
      </c>
      <c r="B316" s="1"/>
      <c r="C316" s="1"/>
      <c r="D316" s="1"/>
      <c r="E316" s="7"/>
      <c r="F316" s="1"/>
      <c r="G316" s="1"/>
      <c r="H316" s="7"/>
      <c r="I316" s="1"/>
      <c r="J316" s="1" t="str">
        <f>IF(B316="","",IF(F316&lt;&gt;"SOLD","",IF(OR(G316="",H316=""),"SELECT TEAM &amp; PRICE",IFERROR(IF(H316&gt;INDEX(Teams!$B$4:$B$13,MATCH(G316,Teams!$A$4:$A$13,0))-SUMIFS($H$4:$H$503,$G$4:$G$503,G316,$F$4:$F$503,"SOLD",$A$4:$A$503,"&lt;&gt;"&amp;A316),"OVER BUDGET","OK"),"INVALID TEAM"))))</f>
        <v/>
      </c>
      <c r="K316" s="1" t="str">
        <f>IF(F316="SOLD",COUNTIF($F$4:F316,"SOLD"),"")</f>
        <v/>
      </c>
      <c r="L316" s="1" t="str">
        <f>IF(F316="UNSOLD",COUNTIF($F$4:F316,"UNSOLD"),"")</f>
        <v/>
      </c>
      <c r="M316" s="1" t="str">
        <f>IF(AND(F316="SOLD",G316='Team View'!$B$3),COUNTIFS($F$4:F316,"SOLD",$G$4:G316,'Team View'!$B$3),"")</f>
        <v/>
      </c>
    </row>
    <row r="317" spans="1:13">
      <c r="A317" s="1" t="str">
        <f t="shared" si="4"/>
        <v/>
      </c>
      <c r="B317" s="1"/>
      <c r="C317" s="1"/>
      <c r="D317" s="1"/>
      <c r="E317" s="7"/>
      <c r="F317" s="1"/>
      <c r="G317" s="1"/>
      <c r="H317" s="7"/>
      <c r="I317" s="1"/>
      <c r="J317" s="1" t="str">
        <f>IF(B317="","",IF(F317&lt;&gt;"SOLD","",IF(OR(G317="",H317=""),"SELECT TEAM &amp; PRICE",IFERROR(IF(H317&gt;INDEX(Teams!$B$4:$B$13,MATCH(G317,Teams!$A$4:$A$13,0))-SUMIFS($H$4:$H$503,$G$4:$G$503,G317,$F$4:$F$503,"SOLD",$A$4:$A$503,"&lt;&gt;"&amp;A317),"OVER BUDGET","OK"),"INVALID TEAM"))))</f>
        <v/>
      </c>
      <c r="K317" s="1" t="str">
        <f>IF(F317="SOLD",COUNTIF($F$4:F317,"SOLD"),"")</f>
        <v/>
      </c>
      <c r="L317" s="1" t="str">
        <f>IF(F317="UNSOLD",COUNTIF($F$4:F317,"UNSOLD"),"")</f>
        <v/>
      </c>
      <c r="M317" s="1" t="str">
        <f>IF(AND(F317="SOLD",G317='Team View'!$B$3),COUNTIFS($F$4:F317,"SOLD",$G$4:G317,'Team View'!$B$3),"")</f>
        <v/>
      </c>
    </row>
    <row r="318" spans="1:13">
      <c r="A318" s="1" t="str">
        <f t="shared" si="4"/>
        <v/>
      </c>
      <c r="B318" s="1"/>
      <c r="C318" s="1"/>
      <c r="D318" s="1"/>
      <c r="E318" s="7"/>
      <c r="F318" s="1"/>
      <c r="G318" s="1"/>
      <c r="H318" s="7"/>
      <c r="I318" s="1"/>
      <c r="J318" s="1" t="str">
        <f>IF(B318="","",IF(F318&lt;&gt;"SOLD","",IF(OR(G318="",H318=""),"SELECT TEAM &amp; PRICE",IFERROR(IF(H318&gt;INDEX(Teams!$B$4:$B$13,MATCH(G318,Teams!$A$4:$A$13,0))-SUMIFS($H$4:$H$503,$G$4:$G$503,G318,$F$4:$F$503,"SOLD",$A$4:$A$503,"&lt;&gt;"&amp;A318),"OVER BUDGET","OK"),"INVALID TEAM"))))</f>
        <v/>
      </c>
      <c r="K318" s="1" t="str">
        <f>IF(F318="SOLD",COUNTIF($F$4:F318,"SOLD"),"")</f>
        <v/>
      </c>
      <c r="L318" s="1" t="str">
        <f>IF(F318="UNSOLD",COUNTIF($F$4:F318,"UNSOLD"),"")</f>
        <v/>
      </c>
      <c r="M318" s="1" t="str">
        <f>IF(AND(F318="SOLD",G318='Team View'!$B$3),COUNTIFS($F$4:F318,"SOLD",$G$4:G318,'Team View'!$B$3),"")</f>
        <v/>
      </c>
    </row>
    <row r="319" spans="1:13">
      <c r="A319" s="1" t="str">
        <f t="shared" si="4"/>
        <v/>
      </c>
      <c r="B319" s="1"/>
      <c r="C319" s="1"/>
      <c r="D319" s="1"/>
      <c r="E319" s="7"/>
      <c r="F319" s="1"/>
      <c r="G319" s="1"/>
      <c r="H319" s="7"/>
      <c r="I319" s="1"/>
      <c r="J319" s="1" t="str">
        <f>IF(B319="","",IF(F319&lt;&gt;"SOLD","",IF(OR(G319="",H319=""),"SELECT TEAM &amp; PRICE",IFERROR(IF(H319&gt;INDEX(Teams!$B$4:$B$13,MATCH(G319,Teams!$A$4:$A$13,0))-SUMIFS($H$4:$H$503,$G$4:$G$503,G319,$F$4:$F$503,"SOLD",$A$4:$A$503,"&lt;&gt;"&amp;A319),"OVER BUDGET","OK"),"INVALID TEAM"))))</f>
        <v/>
      </c>
      <c r="K319" s="1" t="str">
        <f>IF(F319="SOLD",COUNTIF($F$4:F319,"SOLD"),"")</f>
        <v/>
      </c>
      <c r="L319" s="1" t="str">
        <f>IF(F319="UNSOLD",COUNTIF($F$4:F319,"UNSOLD"),"")</f>
        <v/>
      </c>
      <c r="M319" s="1" t="str">
        <f>IF(AND(F319="SOLD",G319='Team View'!$B$3),COUNTIFS($F$4:F319,"SOLD",$G$4:G319,'Team View'!$B$3),"")</f>
        <v/>
      </c>
    </row>
    <row r="320" spans="1:13">
      <c r="A320" s="1" t="str">
        <f t="shared" si="4"/>
        <v/>
      </c>
      <c r="B320" s="1"/>
      <c r="C320" s="1"/>
      <c r="D320" s="1"/>
      <c r="E320" s="7"/>
      <c r="F320" s="1"/>
      <c r="G320" s="1"/>
      <c r="H320" s="7"/>
      <c r="I320" s="1"/>
      <c r="J320" s="1" t="str">
        <f>IF(B320="","",IF(F320&lt;&gt;"SOLD","",IF(OR(G320="",H320=""),"SELECT TEAM &amp; PRICE",IFERROR(IF(H320&gt;INDEX(Teams!$B$4:$B$13,MATCH(G320,Teams!$A$4:$A$13,0))-SUMIFS($H$4:$H$503,$G$4:$G$503,G320,$F$4:$F$503,"SOLD",$A$4:$A$503,"&lt;&gt;"&amp;A320),"OVER BUDGET","OK"),"INVALID TEAM"))))</f>
        <v/>
      </c>
      <c r="K320" s="1" t="str">
        <f>IF(F320="SOLD",COUNTIF($F$4:F320,"SOLD"),"")</f>
        <v/>
      </c>
      <c r="L320" s="1" t="str">
        <f>IF(F320="UNSOLD",COUNTIF($F$4:F320,"UNSOLD"),"")</f>
        <v/>
      </c>
      <c r="M320" s="1" t="str">
        <f>IF(AND(F320="SOLD",G320='Team View'!$B$3),COUNTIFS($F$4:F320,"SOLD",$G$4:G320,'Team View'!$B$3),"")</f>
        <v/>
      </c>
    </row>
    <row r="321" spans="1:13">
      <c r="A321" s="1" t="str">
        <f t="shared" si="4"/>
        <v/>
      </c>
      <c r="B321" s="1"/>
      <c r="C321" s="1"/>
      <c r="D321" s="1"/>
      <c r="E321" s="7"/>
      <c r="F321" s="1"/>
      <c r="G321" s="1"/>
      <c r="H321" s="7"/>
      <c r="I321" s="1"/>
      <c r="J321" s="1" t="str">
        <f>IF(B321="","",IF(F321&lt;&gt;"SOLD","",IF(OR(G321="",H321=""),"SELECT TEAM &amp; PRICE",IFERROR(IF(H321&gt;INDEX(Teams!$B$4:$B$13,MATCH(G321,Teams!$A$4:$A$13,0))-SUMIFS($H$4:$H$503,$G$4:$G$503,G321,$F$4:$F$503,"SOLD",$A$4:$A$503,"&lt;&gt;"&amp;A321),"OVER BUDGET","OK"),"INVALID TEAM"))))</f>
        <v/>
      </c>
      <c r="K321" s="1" t="str">
        <f>IF(F321="SOLD",COUNTIF($F$4:F321,"SOLD"),"")</f>
        <v/>
      </c>
      <c r="L321" s="1" t="str">
        <f>IF(F321="UNSOLD",COUNTIF($F$4:F321,"UNSOLD"),"")</f>
        <v/>
      </c>
      <c r="M321" s="1" t="str">
        <f>IF(AND(F321="SOLD",G321='Team View'!$B$3),COUNTIFS($F$4:F321,"SOLD",$G$4:G321,'Team View'!$B$3),"")</f>
        <v/>
      </c>
    </row>
    <row r="322" spans="1:13">
      <c r="A322" s="1" t="str">
        <f t="shared" si="4"/>
        <v/>
      </c>
      <c r="B322" s="1"/>
      <c r="C322" s="1"/>
      <c r="D322" s="1"/>
      <c r="E322" s="7"/>
      <c r="F322" s="1"/>
      <c r="G322" s="1"/>
      <c r="H322" s="7"/>
      <c r="I322" s="1"/>
      <c r="J322" s="1" t="str">
        <f>IF(B322="","",IF(F322&lt;&gt;"SOLD","",IF(OR(G322="",H322=""),"SELECT TEAM &amp; PRICE",IFERROR(IF(H322&gt;INDEX(Teams!$B$4:$B$13,MATCH(G322,Teams!$A$4:$A$13,0))-SUMIFS($H$4:$H$503,$G$4:$G$503,G322,$F$4:$F$503,"SOLD",$A$4:$A$503,"&lt;&gt;"&amp;A322),"OVER BUDGET","OK"),"INVALID TEAM"))))</f>
        <v/>
      </c>
      <c r="K322" s="1" t="str">
        <f>IF(F322="SOLD",COUNTIF($F$4:F322,"SOLD"),"")</f>
        <v/>
      </c>
      <c r="L322" s="1" t="str">
        <f>IF(F322="UNSOLD",COUNTIF($F$4:F322,"UNSOLD"),"")</f>
        <v/>
      </c>
      <c r="M322" s="1" t="str">
        <f>IF(AND(F322="SOLD",G322='Team View'!$B$3),COUNTIFS($F$4:F322,"SOLD",$G$4:G322,'Team View'!$B$3),"")</f>
        <v/>
      </c>
    </row>
    <row r="323" spans="1:13">
      <c r="A323" s="1" t="str">
        <f t="shared" si="4"/>
        <v/>
      </c>
      <c r="B323" s="1"/>
      <c r="C323" s="1"/>
      <c r="D323" s="1"/>
      <c r="E323" s="7"/>
      <c r="F323" s="1"/>
      <c r="G323" s="1"/>
      <c r="H323" s="7"/>
      <c r="I323" s="1"/>
      <c r="J323" s="1" t="str">
        <f>IF(B323="","",IF(F323&lt;&gt;"SOLD","",IF(OR(G323="",H323=""),"SELECT TEAM &amp; PRICE",IFERROR(IF(H323&gt;INDEX(Teams!$B$4:$B$13,MATCH(G323,Teams!$A$4:$A$13,0))-SUMIFS($H$4:$H$503,$G$4:$G$503,G323,$F$4:$F$503,"SOLD",$A$4:$A$503,"&lt;&gt;"&amp;A323),"OVER BUDGET","OK"),"INVALID TEAM"))))</f>
        <v/>
      </c>
      <c r="K323" s="1" t="str">
        <f>IF(F323="SOLD",COUNTIF($F$4:F323,"SOLD"),"")</f>
        <v/>
      </c>
      <c r="L323" s="1" t="str">
        <f>IF(F323="UNSOLD",COUNTIF($F$4:F323,"UNSOLD"),"")</f>
        <v/>
      </c>
      <c r="M323" s="1" t="str">
        <f>IF(AND(F323="SOLD",G323='Team View'!$B$3),COUNTIFS($F$4:F323,"SOLD",$G$4:G323,'Team View'!$B$3),"")</f>
        <v/>
      </c>
    </row>
    <row r="324" spans="1:13">
      <c r="A324" s="1" t="str">
        <f t="shared" ref="A324:A387" si="5">IF(B324="","",ROW()-3)</f>
        <v/>
      </c>
      <c r="B324" s="1"/>
      <c r="C324" s="1"/>
      <c r="D324" s="1"/>
      <c r="E324" s="7"/>
      <c r="F324" s="1"/>
      <c r="G324" s="1"/>
      <c r="H324" s="7"/>
      <c r="I324" s="1"/>
      <c r="J324" s="1" t="str">
        <f>IF(B324="","",IF(F324&lt;&gt;"SOLD","",IF(OR(G324="",H324=""),"SELECT TEAM &amp; PRICE",IFERROR(IF(H324&gt;INDEX(Teams!$B$4:$B$13,MATCH(G324,Teams!$A$4:$A$13,0))-SUMIFS($H$4:$H$503,$G$4:$G$503,G324,$F$4:$F$503,"SOLD",$A$4:$A$503,"&lt;&gt;"&amp;A324),"OVER BUDGET","OK"),"INVALID TEAM"))))</f>
        <v/>
      </c>
      <c r="K324" s="1" t="str">
        <f>IF(F324="SOLD",COUNTIF($F$4:F324,"SOLD"),"")</f>
        <v/>
      </c>
      <c r="L324" s="1" t="str">
        <f>IF(F324="UNSOLD",COUNTIF($F$4:F324,"UNSOLD"),"")</f>
        <v/>
      </c>
      <c r="M324" s="1" t="str">
        <f>IF(AND(F324="SOLD",G324='Team View'!$B$3),COUNTIFS($F$4:F324,"SOLD",$G$4:G324,'Team View'!$B$3),"")</f>
        <v/>
      </c>
    </row>
    <row r="325" spans="1:13">
      <c r="A325" s="1" t="str">
        <f t="shared" si="5"/>
        <v/>
      </c>
      <c r="B325" s="1"/>
      <c r="C325" s="1"/>
      <c r="D325" s="1"/>
      <c r="E325" s="7"/>
      <c r="F325" s="1"/>
      <c r="G325" s="1"/>
      <c r="H325" s="7"/>
      <c r="I325" s="1"/>
      <c r="J325" s="1" t="str">
        <f>IF(B325="","",IF(F325&lt;&gt;"SOLD","",IF(OR(G325="",H325=""),"SELECT TEAM &amp; PRICE",IFERROR(IF(H325&gt;INDEX(Teams!$B$4:$B$13,MATCH(G325,Teams!$A$4:$A$13,0))-SUMIFS($H$4:$H$503,$G$4:$G$503,G325,$F$4:$F$503,"SOLD",$A$4:$A$503,"&lt;&gt;"&amp;A325),"OVER BUDGET","OK"),"INVALID TEAM"))))</f>
        <v/>
      </c>
      <c r="K325" s="1" t="str">
        <f>IF(F325="SOLD",COUNTIF($F$4:F325,"SOLD"),"")</f>
        <v/>
      </c>
      <c r="L325" s="1" t="str">
        <f>IF(F325="UNSOLD",COUNTIF($F$4:F325,"UNSOLD"),"")</f>
        <v/>
      </c>
      <c r="M325" s="1" t="str">
        <f>IF(AND(F325="SOLD",G325='Team View'!$B$3),COUNTIFS($F$4:F325,"SOLD",$G$4:G325,'Team View'!$B$3),"")</f>
        <v/>
      </c>
    </row>
    <row r="326" spans="1:13">
      <c r="A326" s="1" t="str">
        <f t="shared" si="5"/>
        <v/>
      </c>
      <c r="B326" s="1"/>
      <c r="C326" s="1"/>
      <c r="D326" s="1"/>
      <c r="E326" s="7"/>
      <c r="F326" s="1"/>
      <c r="G326" s="1"/>
      <c r="H326" s="7"/>
      <c r="I326" s="1"/>
      <c r="J326" s="1" t="str">
        <f>IF(B326="","",IF(F326&lt;&gt;"SOLD","",IF(OR(G326="",H326=""),"SELECT TEAM &amp; PRICE",IFERROR(IF(H326&gt;INDEX(Teams!$B$4:$B$13,MATCH(G326,Teams!$A$4:$A$13,0))-SUMIFS($H$4:$H$503,$G$4:$G$503,G326,$F$4:$F$503,"SOLD",$A$4:$A$503,"&lt;&gt;"&amp;A326),"OVER BUDGET","OK"),"INVALID TEAM"))))</f>
        <v/>
      </c>
      <c r="K326" s="1" t="str">
        <f>IF(F326="SOLD",COUNTIF($F$4:F326,"SOLD"),"")</f>
        <v/>
      </c>
      <c r="L326" s="1" t="str">
        <f>IF(F326="UNSOLD",COUNTIF($F$4:F326,"UNSOLD"),"")</f>
        <v/>
      </c>
      <c r="M326" s="1" t="str">
        <f>IF(AND(F326="SOLD",G326='Team View'!$B$3),COUNTIFS($F$4:F326,"SOLD",$G$4:G326,'Team View'!$B$3),"")</f>
        <v/>
      </c>
    </row>
    <row r="327" spans="1:13">
      <c r="A327" s="1" t="str">
        <f t="shared" si="5"/>
        <v/>
      </c>
      <c r="B327" s="1"/>
      <c r="C327" s="1"/>
      <c r="D327" s="1"/>
      <c r="E327" s="7"/>
      <c r="F327" s="1"/>
      <c r="G327" s="1"/>
      <c r="H327" s="7"/>
      <c r="I327" s="1"/>
      <c r="J327" s="1" t="str">
        <f>IF(B327="","",IF(F327&lt;&gt;"SOLD","",IF(OR(G327="",H327=""),"SELECT TEAM &amp; PRICE",IFERROR(IF(H327&gt;INDEX(Teams!$B$4:$B$13,MATCH(G327,Teams!$A$4:$A$13,0))-SUMIFS($H$4:$H$503,$G$4:$G$503,G327,$F$4:$F$503,"SOLD",$A$4:$A$503,"&lt;&gt;"&amp;A327),"OVER BUDGET","OK"),"INVALID TEAM"))))</f>
        <v/>
      </c>
      <c r="K327" s="1" t="str">
        <f>IF(F327="SOLD",COUNTIF($F$4:F327,"SOLD"),"")</f>
        <v/>
      </c>
      <c r="L327" s="1" t="str">
        <f>IF(F327="UNSOLD",COUNTIF($F$4:F327,"UNSOLD"),"")</f>
        <v/>
      </c>
      <c r="M327" s="1" t="str">
        <f>IF(AND(F327="SOLD",G327='Team View'!$B$3),COUNTIFS($F$4:F327,"SOLD",$G$4:G327,'Team View'!$B$3),"")</f>
        <v/>
      </c>
    </row>
    <row r="328" spans="1:13">
      <c r="A328" s="1" t="str">
        <f t="shared" si="5"/>
        <v/>
      </c>
      <c r="B328" s="1"/>
      <c r="C328" s="1"/>
      <c r="D328" s="1"/>
      <c r="E328" s="7"/>
      <c r="F328" s="1"/>
      <c r="G328" s="1"/>
      <c r="H328" s="7"/>
      <c r="I328" s="1"/>
      <c r="J328" s="1" t="str">
        <f>IF(B328="","",IF(F328&lt;&gt;"SOLD","",IF(OR(G328="",H328=""),"SELECT TEAM &amp; PRICE",IFERROR(IF(H328&gt;INDEX(Teams!$B$4:$B$13,MATCH(G328,Teams!$A$4:$A$13,0))-SUMIFS($H$4:$H$503,$G$4:$G$503,G328,$F$4:$F$503,"SOLD",$A$4:$A$503,"&lt;&gt;"&amp;A328),"OVER BUDGET","OK"),"INVALID TEAM"))))</f>
        <v/>
      </c>
      <c r="K328" s="1" t="str">
        <f>IF(F328="SOLD",COUNTIF($F$4:F328,"SOLD"),"")</f>
        <v/>
      </c>
      <c r="L328" s="1" t="str">
        <f>IF(F328="UNSOLD",COUNTIF($F$4:F328,"UNSOLD"),"")</f>
        <v/>
      </c>
      <c r="M328" s="1" t="str">
        <f>IF(AND(F328="SOLD",G328='Team View'!$B$3),COUNTIFS($F$4:F328,"SOLD",$G$4:G328,'Team View'!$B$3),"")</f>
        <v/>
      </c>
    </row>
    <row r="329" spans="1:13">
      <c r="A329" s="1" t="str">
        <f t="shared" si="5"/>
        <v/>
      </c>
      <c r="B329" s="1"/>
      <c r="C329" s="1"/>
      <c r="D329" s="1"/>
      <c r="E329" s="7"/>
      <c r="F329" s="1"/>
      <c r="G329" s="1"/>
      <c r="H329" s="7"/>
      <c r="I329" s="1"/>
      <c r="J329" s="1" t="str">
        <f>IF(B329="","",IF(F329&lt;&gt;"SOLD","",IF(OR(G329="",H329=""),"SELECT TEAM &amp; PRICE",IFERROR(IF(H329&gt;INDEX(Teams!$B$4:$B$13,MATCH(G329,Teams!$A$4:$A$13,0))-SUMIFS($H$4:$H$503,$G$4:$G$503,G329,$F$4:$F$503,"SOLD",$A$4:$A$503,"&lt;&gt;"&amp;A329),"OVER BUDGET","OK"),"INVALID TEAM"))))</f>
        <v/>
      </c>
      <c r="K329" s="1" t="str">
        <f>IF(F329="SOLD",COUNTIF($F$4:F329,"SOLD"),"")</f>
        <v/>
      </c>
      <c r="L329" s="1" t="str">
        <f>IF(F329="UNSOLD",COUNTIF($F$4:F329,"UNSOLD"),"")</f>
        <v/>
      </c>
      <c r="M329" s="1" t="str">
        <f>IF(AND(F329="SOLD",G329='Team View'!$B$3),COUNTIFS($F$4:F329,"SOLD",$G$4:G329,'Team View'!$B$3),"")</f>
        <v/>
      </c>
    </row>
    <row r="330" spans="1:13">
      <c r="A330" s="1" t="str">
        <f t="shared" si="5"/>
        <v/>
      </c>
      <c r="B330" s="1"/>
      <c r="C330" s="1"/>
      <c r="D330" s="1"/>
      <c r="E330" s="7"/>
      <c r="F330" s="1"/>
      <c r="G330" s="1"/>
      <c r="H330" s="7"/>
      <c r="I330" s="1"/>
      <c r="J330" s="1" t="str">
        <f>IF(B330="","",IF(F330&lt;&gt;"SOLD","",IF(OR(G330="",H330=""),"SELECT TEAM &amp; PRICE",IFERROR(IF(H330&gt;INDEX(Teams!$B$4:$B$13,MATCH(G330,Teams!$A$4:$A$13,0))-SUMIFS($H$4:$H$503,$G$4:$G$503,G330,$F$4:$F$503,"SOLD",$A$4:$A$503,"&lt;&gt;"&amp;A330),"OVER BUDGET","OK"),"INVALID TEAM"))))</f>
        <v/>
      </c>
      <c r="K330" s="1" t="str">
        <f>IF(F330="SOLD",COUNTIF($F$4:F330,"SOLD"),"")</f>
        <v/>
      </c>
      <c r="L330" s="1" t="str">
        <f>IF(F330="UNSOLD",COUNTIF($F$4:F330,"UNSOLD"),"")</f>
        <v/>
      </c>
      <c r="M330" s="1" t="str">
        <f>IF(AND(F330="SOLD",G330='Team View'!$B$3),COUNTIFS($F$4:F330,"SOLD",$G$4:G330,'Team View'!$B$3),"")</f>
        <v/>
      </c>
    </row>
    <row r="331" spans="1:13">
      <c r="A331" s="1" t="str">
        <f t="shared" si="5"/>
        <v/>
      </c>
      <c r="B331" s="1"/>
      <c r="C331" s="1"/>
      <c r="D331" s="1"/>
      <c r="E331" s="7"/>
      <c r="F331" s="1"/>
      <c r="G331" s="1"/>
      <c r="H331" s="7"/>
      <c r="I331" s="1"/>
      <c r="J331" s="1" t="str">
        <f>IF(B331="","",IF(F331&lt;&gt;"SOLD","",IF(OR(G331="",H331=""),"SELECT TEAM &amp; PRICE",IFERROR(IF(H331&gt;INDEX(Teams!$B$4:$B$13,MATCH(G331,Teams!$A$4:$A$13,0))-SUMIFS($H$4:$H$503,$G$4:$G$503,G331,$F$4:$F$503,"SOLD",$A$4:$A$503,"&lt;&gt;"&amp;A331),"OVER BUDGET","OK"),"INVALID TEAM"))))</f>
        <v/>
      </c>
      <c r="K331" s="1" t="str">
        <f>IF(F331="SOLD",COUNTIF($F$4:F331,"SOLD"),"")</f>
        <v/>
      </c>
      <c r="L331" s="1" t="str">
        <f>IF(F331="UNSOLD",COUNTIF($F$4:F331,"UNSOLD"),"")</f>
        <v/>
      </c>
      <c r="M331" s="1" t="str">
        <f>IF(AND(F331="SOLD",G331='Team View'!$B$3),COUNTIFS($F$4:F331,"SOLD",$G$4:G331,'Team View'!$B$3),"")</f>
        <v/>
      </c>
    </row>
    <row r="332" spans="1:13">
      <c r="A332" s="1" t="str">
        <f t="shared" si="5"/>
        <v/>
      </c>
      <c r="B332" s="1"/>
      <c r="C332" s="1"/>
      <c r="D332" s="1"/>
      <c r="E332" s="7"/>
      <c r="F332" s="1"/>
      <c r="G332" s="1"/>
      <c r="H332" s="7"/>
      <c r="I332" s="1"/>
      <c r="J332" s="1" t="str">
        <f>IF(B332="","",IF(F332&lt;&gt;"SOLD","",IF(OR(G332="",H332=""),"SELECT TEAM &amp; PRICE",IFERROR(IF(H332&gt;INDEX(Teams!$B$4:$B$13,MATCH(G332,Teams!$A$4:$A$13,0))-SUMIFS($H$4:$H$503,$G$4:$G$503,G332,$F$4:$F$503,"SOLD",$A$4:$A$503,"&lt;&gt;"&amp;A332),"OVER BUDGET","OK"),"INVALID TEAM"))))</f>
        <v/>
      </c>
      <c r="K332" s="1" t="str">
        <f>IF(F332="SOLD",COUNTIF($F$4:F332,"SOLD"),"")</f>
        <v/>
      </c>
      <c r="L332" s="1" t="str">
        <f>IF(F332="UNSOLD",COUNTIF($F$4:F332,"UNSOLD"),"")</f>
        <v/>
      </c>
      <c r="M332" s="1" t="str">
        <f>IF(AND(F332="SOLD",G332='Team View'!$B$3),COUNTIFS($F$4:F332,"SOLD",$G$4:G332,'Team View'!$B$3),"")</f>
        <v/>
      </c>
    </row>
    <row r="333" spans="1:13">
      <c r="A333" s="1" t="str">
        <f t="shared" si="5"/>
        <v/>
      </c>
      <c r="B333" s="1"/>
      <c r="C333" s="1"/>
      <c r="D333" s="1"/>
      <c r="E333" s="7"/>
      <c r="F333" s="1"/>
      <c r="G333" s="1"/>
      <c r="H333" s="7"/>
      <c r="I333" s="1"/>
      <c r="J333" s="1" t="str">
        <f>IF(B333="","",IF(F333&lt;&gt;"SOLD","",IF(OR(G333="",H333=""),"SELECT TEAM &amp; PRICE",IFERROR(IF(H333&gt;INDEX(Teams!$B$4:$B$13,MATCH(G333,Teams!$A$4:$A$13,0))-SUMIFS($H$4:$H$503,$G$4:$G$503,G333,$F$4:$F$503,"SOLD",$A$4:$A$503,"&lt;&gt;"&amp;A333),"OVER BUDGET","OK"),"INVALID TEAM"))))</f>
        <v/>
      </c>
      <c r="K333" s="1" t="str">
        <f>IF(F333="SOLD",COUNTIF($F$4:F333,"SOLD"),"")</f>
        <v/>
      </c>
      <c r="L333" s="1" t="str">
        <f>IF(F333="UNSOLD",COUNTIF($F$4:F333,"UNSOLD"),"")</f>
        <v/>
      </c>
      <c r="M333" s="1" t="str">
        <f>IF(AND(F333="SOLD",G333='Team View'!$B$3),COUNTIFS($F$4:F333,"SOLD",$G$4:G333,'Team View'!$B$3),"")</f>
        <v/>
      </c>
    </row>
    <row r="334" spans="1:13">
      <c r="A334" s="1" t="str">
        <f t="shared" si="5"/>
        <v/>
      </c>
      <c r="B334" s="1"/>
      <c r="C334" s="1"/>
      <c r="D334" s="1"/>
      <c r="E334" s="7"/>
      <c r="F334" s="1"/>
      <c r="G334" s="1"/>
      <c r="H334" s="7"/>
      <c r="I334" s="1"/>
      <c r="J334" s="1" t="str">
        <f>IF(B334="","",IF(F334&lt;&gt;"SOLD","",IF(OR(G334="",H334=""),"SELECT TEAM &amp; PRICE",IFERROR(IF(H334&gt;INDEX(Teams!$B$4:$B$13,MATCH(G334,Teams!$A$4:$A$13,0))-SUMIFS($H$4:$H$503,$G$4:$G$503,G334,$F$4:$F$503,"SOLD",$A$4:$A$503,"&lt;&gt;"&amp;A334),"OVER BUDGET","OK"),"INVALID TEAM"))))</f>
        <v/>
      </c>
      <c r="K334" s="1" t="str">
        <f>IF(F334="SOLD",COUNTIF($F$4:F334,"SOLD"),"")</f>
        <v/>
      </c>
      <c r="L334" s="1" t="str">
        <f>IF(F334="UNSOLD",COUNTIF($F$4:F334,"UNSOLD"),"")</f>
        <v/>
      </c>
      <c r="M334" s="1" t="str">
        <f>IF(AND(F334="SOLD",G334='Team View'!$B$3),COUNTIFS($F$4:F334,"SOLD",$G$4:G334,'Team View'!$B$3),"")</f>
        <v/>
      </c>
    </row>
    <row r="335" spans="1:13">
      <c r="A335" s="1" t="str">
        <f t="shared" si="5"/>
        <v/>
      </c>
      <c r="B335" s="1"/>
      <c r="C335" s="1"/>
      <c r="D335" s="1"/>
      <c r="E335" s="7"/>
      <c r="F335" s="1"/>
      <c r="G335" s="1"/>
      <c r="H335" s="7"/>
      <c r="I335" s="1"/>
      <c r="J335" s="1" t="str">
        <f>IF(B335="","",IF(F335&lt;&gt;"SOLD","",IF(OR(G335="",H335=""),"SELECT TEAM &amp; PRICE",IFERROR(IF(H335&gt;INDEX(Teams!$B$4:$B$13,MATCH(G335,Teams!$A$4:$A$13,0))-SUMIFS($H$4:$H$503,$G$4:$G$503,G335,$F$4:$F$503,"SOLD",$A$4:$A$503,"&lt;&gt;"&amp;A335),"OVER BUDGET","OK"),"INVALID TEAM"))))</f>
        <v/>
      </c>
      <c r="K335" s="1" t="str">
        <f>IF(F335="SOLD",COUNTIF($F$4:F335,"SOLD"),"")</f>
        <v/>
      </c>
      <c r="L335" s="1" t="str">
        <f>IF(F335="UNSOLD",COUNTIF($F$4:F335,"UNSOLD"),"")</f>
        <v/>
      </c>
      <c r="M335" s="1" t="str">
        <f>IF(AND(F335="SOLD",G335='Team View'!$B$3),COUNTIFS($F$4:F335,"SOLD",$G$4:G335,'Team View'!$B$3),"")</f>
        <v/>
      </c>
    </row>
    <row r="336" spans="1:13">
      <c r="A336" s="1" t="str">
        <f t="shared" si="5"/>
        <v/>
      </c>
      <c r="B336" s="1"/>
      <c r="C336" s="1"/>
      <c r="D336" s="1"/>
      <c r="E336" s="7"/>
      <c r="F336" s="1"/>
      <c r="G336" s="1"/>
      <c r="H336" s="7"/>
      <c r="I336" s="1"/>
      <c r="J336" s="1" t="str">
        <f>IF(B336="","",IF(F336&lt;&gt;"SOLD","",IF(OR(G336="",H336=""),"SELECT TEAM &amp; PRICE",IFERROR(IF(H336&gt;INDEX(Teams!$B$4:$B$13,MATCH(G336,Teams!$A$4:$A$13,0))-SUMIFS($H$4:$H$503,$G$4:$G$503,G336,$F$4:$F$503,"SOLD",$A$4:$A$503,"&lt;&gt;"&amp;A336),"OVER BUDGET","OK"),"INVALID TEAM"))))</f>
        <v/>
      </c>
      <c r="K336" s="1" t="str">
        <f>IF(F336="SOLD",COUNTIF($F$4:F336,"SOLD"),"")</f>
        <v/>
      </c>
      <c r="L336" s="1" t="str">
        <f>IF(F336="UNSOLD",COUNTIF($F$4:F336,"UNSOLD"),"")</f>
        <v/>
      </c>
      <c r="M336" s="1" t="str">
        <f>IF(AND(F336="SOLD",G336='Team View'!$B$3),COUNTIFS($F$4:F336,"SOLD",$G$4:G336,'Team View'!$B$3),"")</f>
        <v/>
      </c>
    </row>
    <row r="337" spans="1:13">
      <c r="A337" s="1" t="str">
        <f t="shared" si="5"/>
        <v/>
      </c>
      <c r="B337" s="1"/>
      <c r="C337" s="1"/>
      <c r="D337" s="1"/>
      <c r="E337" s="7"/>
      <c r="F337" s="1"/>
      <c r="G337" s="1"/>
      <c r="H337" s="7"/>
      <c r="I337" s="1"/>
      <c r="J337" s="1" t="str">
        <f>IF(B337="","",IF(F337&lt;&gt;"SOLD","",IF(OR(G337="",H337=""),"SELECT TEAM &amp; PRICE",IFERROR(IF(H337&gt;INDEX(Teams!$B$4:$B$13,MATCH(G337,Teams!$A$4:$A$13,0))-SUMIFS($H$4:$H$503,$G$4:$G$503,G337,$F$4:$F$503,"SOLD",$A$4:$A$503,"&lt;&gt;"&amp;A337),"OVER BUDGET","OK"),"INVALID TEAM"))))</f>
        <v/>
      </c>
      <c r="K337" s="1" t="str">
        <f>IF(F337="SOLD",COUNTIF($F$4:F337,"SOLD"),"")</f>
        <v/>
      </c>
      <c r="L337" s="1" t="str">
        <f>IF(F337="UNSOLD",COUNTIF($F$4:F337,"UNSOLD"),"")</f>
        <v/>
      </c>
      <c r="M337" s="1" t="str">
        <f>IF(AND(F337="SOLD",G337='Team View'!$B$3),COUNTIFS($F$4:F337,"SOLD",$G$4:G337,'Team View'!$B$3),"")</f>
        <v/>
      </c>
    </row>
    <row r="338" spans="1:13">
      <c r="A338" s="1" t="str">
        <f t="shared" si="5"/>
        <v/>
      </c>
      <c r="B338" s="1"/>
      <c r="C338" s="1"/>
      <c r="D338" s="1"/>
      <c r="E338" s="7"/>
      <c r="F338" s="1"/>
      <c r="G338" s="1"/>
      <c r="H338" s="7"/>
      <c r="I338" s="1"/>
      <c r="J338" s="1" t="str">
        <f>IF(B338="","",IF(F338&lt;&gt;"SOLD","",IF(OR(G338="",H338=""),"SELECT TEAM &amp; PRICE",IFERROR(IF(H338&gt;INDEX(Teams!$B$4:$B$13,MATCH(G338,Teams!$A$4:$A$13,0))-SUMIFS($H$4:$H$503,$G$4:$G$503,G338,$F$4:$F$503,"SOLD",$A$4:$A$503,"&lt;&gt;"&amp;A338),"OVER BUDGET","OK"),"INVALID TEAM"))))</f>
        <v/>
      </c>
      <c r="K338" s="1" t="str">
        <f>IF(F338="SOLD",COUNTIF($F$4:F338,"SOLD"),"")</f>
        <v/>
      </c>
      <c r="L338" s="1" t="str">
        <f>IF(F338="UNSOLD",COUNTIF($F$4:F338,"UNSOLD"),"")</f>
        <v/>
      </c>
      <c r="M338" s="1" t="str">
        <f>IF(AND(F338="SOLD",G338='Team View'!$B$3),COUNTIFS($F$4:F338,"SOLD",$G$4:G338,'Team View'!$B$3),"")</f>
        <v/>
      </c>
    </row>
    <row r="339" spans="1:13">
      <c r="A339" s="1" t="str">
        <f t="shared" si="5"/>
        <v/>
      </c>
      <c r="B339" s="1"/>
      <c r="C339" s="1"/>
      <c r="D339" s="1"/>
      <c r="E339" s="7"/>
      <c r="F339" s="1"/>
      <c r="G339" s="1"/>
      <c r="H339" s="7"/>
      <c r="I339" s="1"/>
      <c r="J339" s="1" t="str">
        <f>IF(B339="","",IF(F339&lt;&gt;"SOLD","",IF(OR(G339="",H339=""),"SELECT TEAM &amp; PRICE",IFERROR(IF(H339&gt;INDEX(Teams!$B$4:$B$13,MATCH(G339,Teams!$A$4:$A$13,0))-SUMIFS($H$4:$H$503,$G$4:$G$503,G339,$F$4:$F$503,"SOLD",$A$4:$A$503,"&lt;&gt;"&amp;A339),"OVER BUDGET","OK"),"INVALID TEAM"))))</f>
        <v/>
      </c>
      <c r="K339" s="1" t="str">
        <f>IF(F339="SOLD",COUNTIF($F$4:F339,"SOLD"),"")</f>
        <v/>
      </c>
      <c r="L339" s="1" t="str">
        <f>IF(F339="UNSOLD",COUNTIF($F$4:F339,"UNSOLD"),"")</f>
        <v/>
      </c>
      <c r="M339" s="1" t="str">
        <f>IF(AND(F339="SOLD",G339='Team View'!$B$3),COUNTIFS($F$4:F339,"SOLD",$G$4:G339,'Team View'!$B$3),"")</f>
        <v/>
      </c>
    </row>
    <row r="340" spans="1:13">
      <c r="A340" s="1" t="str">
        <f t="shared" si="5"/>
        <v/>
      </c>
      <c r="B340" s="1"/>
      <c r="C340" s="1"/>
      <c r="D340" s="1"/>
      <c r="E340" s="7"/>
      <c r="F340" s="1"/>
      <c r="G340" s="1"/>
      <c r="H340" s="7"/>
      <c r="I340" s="1"/>
      <c r="J340" s="1" t="str">
        <f>IF(B340="","",IF(F340&lt;&gt;"SOLD","",IF(OR(G340="",H340=""),"SELECT TEAM &amp; PRICE",IFERROR(IF(H340&gt;INDEX(Teams!$B$4:$B$13,MATCH(G340,Teams!$A$4:$A$13,0))-SUMIFS($H$4:$H$503,$G$4:$G$503,G340,$F$4:$F$503,"SOLD",$A$4:$A$503,"&lt;&gt;"&amp;A340),"OVER BUDGET","OK"),"INVALID TEAM"))))</f>
        <v/>
      </c>
      <c r="K340" s="1" t="str">
        <f>IF(F340="SOLD",COUNTIF($F$4:F340,"SOLD"),"")</f>
        <v/>
      </c>
      <c r="L340" s="1" t="str">
        <f>IF(F340="UNSOLD",COUNTIF($F$4:F340,"UNSOLD"),"")</f>
        <v/>
      </c>
      <c r="M340" s="1" t="str">
        <f>IF(AND(F340="SOLD",G340='Team View'!$B$3),COUNTIFS($F$4:F340,"SOLD",$G$4:G340,'Team View'!$B$3),"")</f>
        <v/>
      </c>
    </row>
    <row r="341" spans="1:13">
      <c r="A341" s="1" t="str">
        <f t="shared" si="5"/>
        <v/>
      </c>
      <c r="B341" s="1"/>
      <c r="C341" s="1"/>
      <c r="D341" s="1"/>
      <c r="E341" s="7"/>
      <c r="F341" s="1"/>
      <c r="G341" s="1"/>
      <c r="H341" s="7"/>
      <c r="I341" s="1"/>
      <c r="J341" s="1" t="str">
        <f>IF(B341="","",IF(F341&lt;&gt;"SOLD","",IF(OR(G341="",H341=""),"SELECT TEAM &amp; PRICE",IFERROR(IF(H341&gt;INDEX(Teams!$B$4:$B$13,MATCH(G341,Teams!$A$4:$A$13,0))-SUMIFS($H$4:$H$503,$G$4:$G$503,G341,$F$4:$F$503,"SOLD",$A$4:$A$503,"&lt;&gt;"&amp;A341),"OVER BUDGET","OK"),"INVALID TEAM"))))</f>
        <v/>
      </c>
      <c r="K341" s="1" t="str">
        <f>IF(F341="SOLD",COUNTIF($F$4:F341,"SOLD"),"")</f>
        <v/>
      </c>
      <c r="L341" s="1" t="str">
        <f>IF(F341="UNSOLD",COUNTIF($F$4:F341,"UNSOLD"),"")</f>
        <v/>
      </c>
      <c r="M341" s="1" t="str">
        <f>IF(AND(F341="SOLD",G341='Team View'!$B$3),COUNTIFS($F$4:F341,"SOLD",$G$4:G341,'Team View'!$B$3),"")</f>
        <v/>
      </c>
    </row>
    <row r="342" spans="1:13">
      <c r="A342" s="1" t="str">
        <f t="shared" si="5"/>
        <v/>
      </c>
      <c r="B342" s="1"/>
      <c r="C342" s="1"/>
      <c r="D342" s="1"/>
      <c r="E342" s="7"/>
      <c r="F342" s="1"/>
      <c r="G342" s="1"/>
      <c r="H342" s="7"/>
      <c r="I342" s="1"/>
      <c r="J342" s="1" t="str">
        <f>IF(B342="","",IF(F342&lt;&gt;"SOLD","",IF(OR(G342="",H342=""),"SELECT TEAM &amp; PRICE",IFERROR(IF(H342&gt;INDEX(Teams!$B$4:$B$13,MATCH(G342,Teams!$A$4:$A$13,0))-SUMIFS($H$4:$H$503,$G$4:$G$503,G342,$F$4:$F$503,"SOLD",$A$4:$A$503,"&lt;&gt;"&amp;A342),"OVER BUDGET","OK"),"INVALID TEAM"))))</f>
        <v/>
      </c>
      <c r="K342" s="1" t="str">
        <f>IF(F342="SOLD",COUNTIF($F$4:F342,"SOLD"),"")</f>
        <v/>
      </c>
      <c r="L342" s="1" t="str">
        <f>IF(F342="UNSOLD",COUNTIF($F$4:F342,"UNSOLD"),"")</f>
        <v/>
      </c>
      <c r="M342" s="1" t="str">
        <f>IF(AND(F342="SOLD",G342='Team View'!$B$3),COUNTIFS($F$4:F342,"SOLD",$G$4:G342,'Team View'!$B$3),"")</f>
        <v/>
      </c>
    </row>
    <row r="343" spans="1:13">
      <c r="A343" s="1" t="str">
        <f t="shared" si="5"/>
        <v/>
      </c>
      <c r="B343" s="1"/>
      <c r="C343" s="1"/>
      <c r="D343" s="1"/>
      <c r="E343" s="7"/>
      <c r="F343" s="1"/>
      <c r="G343" s="1"/>
      <c r="H343" s="7"/>
      <c r="I343" s="1"/>
      <c r="J343" s="1" t="str">
        <f>IF(B343="","",IF(F343&lt;&gt;"SOLD","",IF(OR(G343="",H343=""),"SELECT TEAM &amp; PRICE",IFERROR(IF(H343&gt;INDEX(Teams!$B$4:$B$13,MATCH(G343,Teams!$A$4:$A$13,0))-SUMIFS($H$4:$H$503,$G$4:$G$503,G343,$F$4:$F$503,"SOLD",$A$4:$A$503,"&lt;&gt;"&amp;A343),"OVER BUDGET","OK"),"INVALID TEAM"))))</f>
        <v/>
      </c>
      <c r="K343" s="1" t="str">
        <f>IF(F343="SOLD",COUNTIF($F$4:F343,"SOLD"),"")</f>
        <v/>
      </c>
      <c r="L343" s="1" t="str">
        <f>IF(F343="UNSOLD",COUNTIF($F$4:F343,"UNSOLD"),"")</f>
        <v/>
      </c>
      <c r="M343" s="1" t="str">
        <f>IF(AND(F343="SOLD",G343='Team View'!$B$3),COUNTIFS($F$4:F343,"SOLD",$G$4:G343,'Team View'!$B$3),"")</f>
        <v/>
      </c>
    </row>
    <row r="344" spans="1:13">
      <c r="A344" s="1" t="str">
        <f t="shared" si="5"/>
        <v/>
      </c>
      <c r="B344" s="1"/>
      <c r="C344" s="1"/>
      <c r="D344" s="1"/>
      <c r="E344" s="7"/>
      <c r="F344" s="1"/>
      <c r="G344" s="1"/>
      <c r="H344" s="7"/>
      <c r="I344" s="1"/>
      <c r="J344" s="1" t="str">
        <f>IF(B344="","",IF(F344&lt;&gt;"SOLD","",IF(OR(G344="",H344=""),"SELECT TEAM &amp; PRICE",IFERROR(IF(H344&gt;INDEX(Teams!$B$4:$B$13,MATCH(G344,Teams!$A$4:$A$13,0))-SUMIFS($H$4:$H$503,$G$4:$G$503,G344,$F$4:$F$503,"SOLD",$A$4:$A$503,"&lt;&gt;"&amp;A344),"OVER BUDGET","OK"),"INVALID TEAM"))))</f>
        <v/>
      </c>
      <c r="K344" s="1" t="str">
        <f>IF(F344="SOLD",COUNTIF($F$4:F344,"SOLD"),"")</f>
        <v/>
      </c>
      <c r="L344" s="1" t="str">
        <f>IF(F344="UNSOLD",COUNTIF($F$4:F344,"UNSOLD"),"")</f>
        <v/>
      </c>
      <c r="M344" s="1" t="str">
        <f>IF(AND(F344="SOLD",G344='Team View'!$B$3),COUNTIFS($F$4:F344,"SOLD",$G$4:G344,'Team View'!$B$3),"")</f>
        <v/>
      </c>
    </row>
    <row r="345" spans="1:13">
      <c r="A345" s="1" t="str">
        <f t="shared" si="5"/>
        <v/>
      </c>
      <c r="B345" s="1"/>
      <c r="C345" s="1"/>
      <c r="D345" s="1"/>
      <c r="E345" s="7"/>
      <c r="F345" s="1"/>
      <c r="G345" s="1"/>
      <c r="H345" s="7"/>
      <c r="I345" s="1"/>
      <c r="J345" s="1" t="str">
        <f>IF(B345="","",IF(F345&lt;&gt;"SOLD","",IF(OR(G345="",H345=""),"SELECT TEAM &amp; PRICE",IFERROR(IF(H345&gt;INDEX(Teams!$B$4:$B$13,MATCH(G345,Teams!$A$4:$A$13,0))-SUMIFS($H$4:$H$503,$G$4:$G$503,G345,$F$4:$F$503,"SOLD",$A$4:$A$503,"&lt;&gt;"&amp;A345),"OVER BUDGET","OK"),"INVALID TEAM"))))</f>
        <v/>
      </c>
      <c r="K345" s="1" t="str">
        <f>IF(F345="SOLD",COUNTIF($F$4:F345,"SOLD"),"")</f>
        <v/>
      </c>
      <c r="L345" s="1" t="str">
        <f>IF(F345="UNSOLD",COUNTIF($F$4:F345,"UNSOLD"),"")</f>
        <v/>
      </c>
      <c r="M345" s="1" t="str">
        <f>IF(AND(F345="SOLD",G345='Team View'!$B$3),COUNTIFS($F$4:F345,"SOLD",$G$4:G345,'Team View'!$B$3),"")</f>
        <v/>
      </c>
    </row>
    <row r="346" spans="1:13">
      <c r="A346" s="1" t="str">
        <f t="shared" si="5"/>
        <v/>
      </c>
      <c r="B346" s="1"/>
      <c r="C346" s="1"/>
      <c r="D346" s="1"/>
      <c r="E346" s="7"/>
      <c r="F346" s="1"/>
      <c r="G346" s="1"/>
      <c r="H346" s="7"/>
      <c r="I346" s="1"/>
      <c r="J346" s="1" t="str">
        <f>IF(B346="","",IF(F346&lt;&gt;"SOLD","",IF(OR(G346="",H346=""),"SELECT TEAM &amp; PRICE",IFERROR(IF(H346&gt;INDEX(Teams!$B$4:$B$13,MATCH(G346,Teams!$A$4:$A$13,0))-SUMIFS($H$4:$H$503,$G$4:$G$503,G346,$F$4:$F$503,"SOLD",$A$4:$A$503,"&lt;&gt;"&amp;A346),"OVER BUDGET","OK"),"INVALID TEAM"))))</f>
        <v/>
      </c>
      <c r="K346" s="1" t="str">
        <f>IF(F346="SOLD",COUNTIF($F$4:F346,"SOLD"),"")</f>
        <v/>
      </c>
      <c r="L346" s="1" t="str">
        <f>IF(F346="UNSOLD",COUNTIF($F$4:F346,"UNSOLD"),"")</f>
        <v/>
      </c>
      <c r="M346" s="1" t="str">
        <f>IF(AND(F346="SOLD",G346='Team View'!$B$3),COUNTIFS($F$4:F346,"SOLD",$G$4:G346,'Team View'!$B$3),"")</f>
        <v/>
      </c>
    </row>
    <row r="347" spans="1:13">
      <c r="A347" s="1" t="str">
        <f t="shared" si="5"/>
        <v/>
      </c>
      <c r="B347" s="1"/>
      <c r="C347" s="1"/>
      <c r="D347" s="1"/>
      <c r="E347" s="7"/>
      <c r="F347" s="1"/>
      <c r="G347" s="1"/>
      <c r="H347" s="7"/>
      <c r="I347" s="1"/>
      <c r="J347" s="1" t="str">
        <f>IF(B347="","",IF(F347&lt;&gt;"SOLD","",IF(OR(G347="",H347=""),"SELECT TEAM &amp; PRICE",IFERROR(IF(H347&gt;INDEX(Teams!$B$4:$B$13,MATCH(G347,Teams!$A$4:$A$13,0))-SUMIFS($H$4:$H$503,$G$4:$G$503,G347,$F$4:$F$503,"SOLD",$A$4:$A$503,"&lt;&gt;"&amp;A347),"OVER BUDGET","OK"),"INVALID TEAM"))))</f>
        <v/>
      </c>
      <c r="K347" s="1" t="str">
        <f>IF(F347="SOLD",COUNTIF($F$4:F347,"SOLD"),"")</f>
        <v/>
      </c>
      <c r="L347" s="1" t="str">
        <f>IF(F347="UNSOLD",COUNTIF($F$4:F347,"UNSOLD"),"")</f>
        <v/>
      </c>
      <c r="M347" s="1" t="str">
        <f>IF(AND(F347="SOLD",G347='Team View'!$B$3),COUNTIFS($F$4:F347,"SOLD",$G$4:G347,'Team View'!$B$3),"")</f>
        <v/>
      </c>
    </row>
    <row r="348" spans="1:13">
      <c r="A348" s="1" t="str">
        <f t="shared" si="5"/>
        <v/>
      </c>
      <c r="B348" s="1"/>
      <c r="C348" s="1"/>
      <c r="D348" s="1"/>
      <c r="E348" s="7"/>
      <c r="F348" s="1"/>
      <c r="G348" s="1"/>
      <c r="H348" s="7"/>
      <c r="I348" s="1"/>
      <c r="J348" s="1" t="str">
        <f>IF(B348="","",IF(F348&lt;&gt;"SOLD","",IF(OR(G348="",H348=""),"SELECT TEAM &amp; PRICE",IFERROR(IF(H348&gt;INDEX(Teams!$B$4:$B$13,MATCH(G348,Teams!$A$4:$A$13,0))-SUMIFS($H$4:$H$503,$G$4:$G$503,G348,$F$4:$F$503,"SOLD",$A$4:$A$503,"&lt;&gt;"&amp;A348),"OVER BUDGET","OK"),"INVALID TEAM"))))</f>
        <v/>
      </c>
      <c r="K348" s="1" t="str">
        <f>IF(F348="SOLD",COUNTIF($F$4:F348,"SOLD"),"")</f>
        <v/>
      </c>
      <c r="L348" s="1" t="str">
        <f>IF(F348="UNSOLD",COUNTIF($F$4:F348,"UNSOLD"),"")</f>
        <v/>
      </c>
      <c r="M348" s="1" t="str">
        <f>IF(AND(F348="SOLD",G348='Team View'!$B$3),COUNTIFS($F$4:F348,"SOLD",$G$4:G348,'Team View'!$B$3),"")</f>
        <v/>
      </c>
    </row>
    <row r="349" spans="1:13">
      <c r="A349" s="1" t="str">
        <f t="shared" si="5"/>
        <v/>
      </c>
      <c r="B349" s="1"/>
      <c r="C349" s="1"/>
      <c r="D349" s="1"/>
      <c r="E349" s="7"/>
      <c r="F349" s="1"/>
      <c r="G349" s="1"/>
      <c r="H349" s="7"/>
      <c r="I349" s="1"/>
      <c r="J349" s="1" t="str">
        <f>IF(B349="","",IF(F349&lt;&gt;"SOLD","",IF(OR(G349="",H349=""),"SELECT TEAM &amp; PRICE",IFERROR(IF(H349&gt;INDEX(Teams!$B$4:$B$13,MATCH(G349,Teams!$A$4:$A$13,0))-SUMIFS($H$4:$H$503,$G$4:$G$503,G349,$F$4:$F$503,"SOLD",$A$4:$A$503,"&lt;&gt;"&amp;A349),"OVER BUDGET","OK"),"INVALID TEAM"))))</f>
        <v/>
      </c>
      <c r="K349" s="1" t="str">
        <f>IF(F349="SOLD",COUNTIF($F$4:F349,"SOLD"),"")</f>
        <v/>
      </c>
      <c r="L349" s="1" t="str">
        <f>IF(F349="UNSOLD",COUNTIF($F$4:F349,"UNSOLD"),"")</f>
        <v/>
      </c>
      <c r="M349" s="1" t="str">
        <f>IF(AND(F349="SOLD",G349='Team View'!$B$3),COUNTIFS($F$4:F349,"SOLD",$G$4:G349,'Team View'!$B$3),"")</f>
        <v/>
      </c>
    </row>
    <row r="350" spans="1:13">
      <c r="A350" s="1" t="str">
        <f t="shared" si="5"/>
        <v/>
      </c>
      <c r="B350" s="1"/>
      <c r="C350" s="1"/>
      <c r="D350" s="1"/>
      <c r="E350" s="7"/>
      <c r="F350" s="1"/>
      <c r="G350" s="1"/>
      <c r="H350" s="7"/>
      <c r="I350" s="1"/>
      <c r="J350" s="1" t="str">
        <f>IF(B350="","",IF(F350&lt;&gt;"SOLD","",IF(OR(G350="",H350=""),"SELECT TEAM &amp; PRICE",IFERROR(IF(H350&gt;INDEX(Teams!$B$4:$B$13,MATCH(G350,Teams!$A$4:$A$13,0))-SUMIFS($H$4:$H$503,$G$4:$G$503,G350,$F$4:$F$503,"SOLD",$A$4:$A$503,"&lt;&gt;"&amp;A350),"OVER BUDGET","OK"),"INVALID TEAM"))))</f>
        <v/>
      </c>
      <c r="K350" s="1" t="str">
        <f>IF(F350="SOLD",COUNTIF($F$4:F350,"SOLD"),"")</f>
        <v/>
      </c>
      <c r="L350" s="1" t="str">
        <f>IF(F350="UNSOLD",COUNTIF($F$4:F350,"UNSOLD"),"")</f>
        <v/>
      </c>
      <c r="M350" s="1" t="str">
        <f>IF(AND(F350="SOLD",G350='Team View'!$B$3),COUNTIFS($F$4:F350,"SOLD",$G$4:G350,'Team View'!$B$3),"")</f>
        <v/>
      </c>
    </row>
    <row r="351" spans="1:13">
      <c r="A351" s="1" t="str">
        <f t="shared" si="5"/>
        <v/>
      </c>
      <c r="B351" s="1"/>
      <c r="C351" s="1"/>
      <c r="D351" s="1"/>
      <c r="E351" s="7"/>
      <c r="F351" s="1"/>
      <c r="G351" s="1"/>
      <c r="H351" s="7"/>
      <c r="I351" s="1"/>
      <c r="J351" s="1" t="str">
        <f>IF(B351="","",IF(F351&lt;&gt;"SOLD","",IF(OR(G351="",H351=""),"SELECT TEAM &amp; PRICE",IFERROR(IF(H351&gt;INDEX(Teams!$B$4:$B$13,MATCH(G351,Teams!$A$4:$A$13,0))-SUMIFS($H$4:$H$503,$G$4:$G$503,G351,$F$4:$F$503,"SOLD",$A$4:$A$503,"&lt;&gt;"&amp;A351),"OVER BUDGET","OK"),"INVALID TEAM"))))</f>
        <v/>
      </c>
      <c r="K351" s="1" t="str">
        <f>IF(F351="SOLD",COUNTIF($F$4:F351,"SOLD"),"")</f>
        <v/>
      </c>
      <c r="L351" s="1" t="str">
        <f>IF(F351="UNSOLD",COUNTIF($F$4:F351,"UNSOLD"),"")</f>
        <v/>
      </c>
      <c r="M351" s="1" t="str">
        <f>IF(AND(F351="SOLD",G351='Team View'!$B$3),COUNTIFS($F$4:F351,"SOLD",$G$4:G351,'Team View'!$B$3),"")</f>
        <v/>
      </c>
    </row>
    <row r="352" spans="1:13">
      <c r="A352" s="1" t="str">
        <f t="shared" si="5"/>
        <v/>
      </c>
      <c r="B352" s="1"/>
      <c r="C352" s="1"/>
      <c r="D352" s="1"/>
      <c r="E352" s="7"/>
      <c r="F352" s="1"/>
      <c r="G352" s="1"/>
      <c r="H352" s="7"/>
      <c r="I352" s="1"/>
      <c r="J352" s="1" t="str">
        <f>IF(B352="","",IF(F352&lt;&gt;"SOLD","",IF(OR(G352="",H352=""),"SELECT TEAM &amp; PRICE",IFERROR(IF(H352&gt;INDEX(Teams!$B$4:$B$13,MATCH(G352,Teams!$A$4:$A$13,0))-SUMIFS($H$4:$H$503,$G$4:$G$503,G352,$F$4:$F$503,"SOLD",$A$4:$A$503,"&lt;&gt;"&amp;A352),"OVER BUDGET","OK"),"INVALID TEAM"))))</f>
        <v/>
      </c>
      <c r="K352" s="1" t="str">
        <f>IF(F352="SOLD",COUNTIF($F$4:F352,"SOLD"),"")</f>
        <v/>
      </c>
      <c r="L352" s="1" t="str">
        <f>IF(F352="UNSOLD",COUNTIF($F$4:F352,"UNSOLD"),"")</f>
        <v/>
      </c>
      <c r="M352" s="1" t="str">
        <f>IF(AND(F352="SOLD",G352='Team View'!$B$3),COUNTIFS($F$4:F352,"SOLD",$G$4:G352,'Team View'!$B$3),"")</f>
        <v/>
      </c>
    </row>
    <row r="353" spans="1:13">
      <c r="A353" s="1" t="str">
        <f t="shared" si="5"/>
        <v/>
      </c>
      <c r="B353" s="1"/>
      <c r="C353" s="1"/>
      <c r="D353" s="1"/>
      <c r="E353" s="7"/>
      <c r="F353" s="1"/>
      <c r="G353" s="1"/>
      <c r="H353" s="7"/>
      <c r="I353" s="1"/>
      <c r="J353" s="1" t="str">
        <f>IF(B353="","",IF(F353&lt;&gt;"SOLD","",IF(OR(G353="",H353=""),"SELECT TEAM &amp; PRICE",IFERROR(IF(H353&gt;INDEX(Teams!$B$4:$B$13,MATCH(G353,Teams!$A$4:$A$13,0))-SUMIFS($H$4:$H$503,$G$4:$G$503,G353,$F$4:$F$503,"SOLD",$A$4:$A$503,"&lt;&gt;"&amp;A353),"OVER BUDGET","OK"),"INVALID TEAM"))))</f>
        <v/>
      </c>
      <c r="K353" s="1" t="str">
        <f>IF(F353="SOLD",COUNTIF($F$4:F353,"SOLD"),"")</f>
        <v/>
      </c>
      <c r="L353" s="1" t="str">
        <f>IF(F353="UNSOLD",COUNTIF($F$4:F353,"UNSOLD"),"")</f>
        <v/>
      </c>
      <c r="M353" s="1" t="str">
        <f>IF(AND(F353="SOLD",G353='Team View'!$B$3),COUNTIFS($F$4:F353,"SOLD",$G$4:G353,'Team View'!$B$3),"")</f>
        <v/>
      </c>
    </row>
    <row r="354" spans="1:13">
      <c r="A354" s="1" t="str">
        <f t="shared" si="5"/>
        <v/>
      </c>
      <c r="B354" s="1"/>
      <c r="C354" s="1"/>
      <c r="D354" s="1"/>
      <c r="E354" s="7"/>
      <c r="F354" s="1"/>
      <c r="G354" s="1"/>
      <c r="H354" s="7"/>
      <c r="I354" s="1"/>
      <c r="J354" s="1" t="str">
        <f>IF(B354="","",IF(F354&lt;&gt;"SOLD","",IF(OR(G354="",H354=""),"SELECT TEAM &amp; PRICE",IFERROR(IF(H354&gt;INDEX(Teams!$B$4:$B$13,MATCH(G354,Teams!$A$4:$A$13,0))-SUMIFS($H$4:$H$503,$G$4:$G$503,G354,$F$4:$F$503,"SOLD",$A$4:$A$503,"&lt;&gt;"&amp;A354),"OVER BUDGET","OK"),"INVALID TEAM"))))</f>
        <v/>
      </c>
      <c r="K354" s="1" t="str">
        <f>IF(F354="SOLD",COUNTIF($F$4:F354,"SOLD"),"")</f>
        <v/>
      </c>
      <c r="L354" s="1" t="str">
        <f>IF(F354="UNSOLD",COUNTIF($F$4:F354,"UNSOLD"),"")</f>
        <v/>
      </c>
      <c r="M354" s="1" t="str">
        <f>IF(AND(F354="SOLD",G354='Team View'!$B$3),COUNTIFS($F$4:F354,"SOLD",$G$4:G354,'Team View'!$B$3),"")</f>
        <v/>
      </c>
    </row>
    <row r="355" spans="1:13">
      <c r="A355" s="1" t="str">
        <f t="shared" si="5"/>
        <v/>
      </c>
      <c r="B355" s="1"/>
      <c r="C355" s="1"/>
      <c r="D355" s="1"/>
      <c r="E355" s="7"/>
      <c r="F355" s="1"/>
      <c r="G355" s="1"/>
      <c r="H355" s="7"/>
      <c r="I355" s="1"/>
      <c r="J355" s="1" t="str">
        <f>IF(B355="","",IF(F355&lt;&gt;"SOLD","",IF(OR(G355="",H355=""),"SELECT TEAM &amp; PRICE",IFERROR(IF(H355&gt;INDEX(Teams!$B$4:$B$13,MATCH(G355,Teams!$A$4:$A$13,0))-SUMIFS($H$4:$H$503,$G$4:$G$503,G355,$F$4:$F$503,"SOLD",$A$4:$A$503,"&lt;&gt;"&amp;A355),"OVER BUDGET","OK"),"INVALID TEAM"))))</f>
        <v/>
      </c>
      <c r="K355" s="1" t="str">
        <f>IF(F355="SOLD",COUNTIF($F$4:F355,"SOLD"),"")</f>
        <v/>
      </c>
      <c r="L355" s="1" t="str">
        <f>IF(F355="UNSOLD",COUNTIF($F$4:F355,"UNSOLD"),"")</f>
        <v/>
      </c>
      <c r="M355" s="1" t="str">
        <f>IF(AND(F355="SOLD",G355='Team View'!$B$3),COUNTIFS($F$4:F355,"SOLD",$G$4:G355,'Team View'!$B$3),"")</f>
        <v/>
      </c>
    </row>
    <row r="356" spans="1:13">
      <c r="A356" s="1" t="str">
        <f t="shared" si="5"/>
        <v/>
      </c>
      <c r="B356" s="1"/>
      <c r="C356" s="1"/>
      <c r="D356" s="1"/>
      <c r="E356" s="7"/>
      <c r="F356" s="1"/>
      <c r="G356" s="1"/>
      <c r="H356" s="7"/>
      <c r="I356" s="1"/>
      <c r="J356" s="1" t="str">
        <f>IF(B356="","",IF(F356&lt;&gt;"SOLD","",IF(OR(G356="",H356=""),"SELECT TEAM &amp; PRICE",IFERROR(IF(H356&gt;INDEX(Teams!$B$4:$B$13,MATCH(G356,Teams!$A$4:$A$13,0))-SUMIFS($H$4:$H$503,$G$4:$G$503,G356,$F$4:$F$503,"SOLD",$A$4:$A$503,"&lt;&gt;"&amp;A356),"OVER BUDGET","OK"),"INVALID TEAM"))))</f>
        <v/>
      </c>
      <c r="K356" s="1" t="str">
        <f>IF(F356="SOLD",COUNTIF($F$4:F356,"SOLD"),"")</f>
        <v/>
      </c>
      <c r="L356" s="1" t="str">
        <f>IF(F356="UNSOLD",COUNTIF($F$4:F356,"UNSOLD"),"")</f>
        <v/>
      </c>
      <c r="M356" s="1" t="str">
        <f>IF(AND(F356="SOLD",G356='Team View'!$B$3),COUNTIFS($F$4:F356,"SOLD",$G$4:G356,'Team View'!$B$3),"")</f>
        <v/>
      </c>
    </row>
    <row r="357" spans="1:13">
      <c r="A357" s="1" t="str">
        <f t="shared" si="5"/>
        <v/>
      </c>
      <c r="B357" s="1"/>
      <c r="C357" s="1"/>
      <c r="D357" s="1"/>
      <c r="E357" s="7"/>
      <c r="F357" s="1"/>
      <c r="G357" s="1"/>
      <c r="H357" s="7"/>
      <c r="I357" s="1"/>
      <c r="J357" s="1" t="str">
        <f>IF(B357="","",IF(F357&lt;&gt;"SOLD","",IF(OR(G357="",H357=""),"SELECT TEAM &amp; PRICE",IFERROR(IF(H357&gt;INDEX(Teams!$B$4:$B$13,MATCH(G357,Teams!$A$4:$A$13,0))-SUMIFS($H$4:$H$503,$G$4:$G$503,G357,$F$4:$F$503,"SOLD",$A$4:$A$503,"&lt;&gt;"&amp;A357),"OVER BUDGET","OK"),"INVALID TEAM"))))</f>
        <v/>
      </c>
      <c r="K357" s="1" t="str">
        <f>IF(F357="SOLD",COUNTIF($F$4:F357,"SOLD"),"")</f>
        <v/>
      </c>
      <c r="L357" s="1" t="str">
        <f>IF(F357="UNSOLD",COUNTIF($F$4:F357,"UNSOLD"),"")</f>
        <v/>
      </c>
      <c r="M357" s="1" t="str">
        <f>IF(AND(F357="SOLD",G357='Team View'!$B$3),COUNTIFS($F$4:F357,"SOLD",$G$4:G357,'Team View'!$B$3),"")</f>
        <v/>
      </c>
    </row>
    <row r="358" spans="1:13">
      <c r="A358" s="1" t="str">
        <f t="shared" si="5"/>
        <v/>
      </c>
      <c r="B358" s="1"/>
      <c r="C358" s="1"/>
      <c r="D358" s="1"/>
      <c r="E358" s="7"/>
      <c r="F358" s="1"/>
      <c r="G358" s="1"/>
      <c r="H358" s="7"/>
      <c r="I358" s="1"/>
      <c r="J358" s="1" t="str">
        <f>IF(B358="","",IF(F358&lt;&gt;"SOLD","",IF(OR(G358="",H358=""),"SELECT TEAM &amp; PRICE",IFERROR(IF(H358&gt;INDEX(Teams!$B$4:$B$13,MATCH(G358,Teams!$A$4:$A$13,0))-SUMIFS($H$4:$H$503,$G$4:$G$503,G358,$F$4:$F$503,"SOLD",$A$4:$A$503,"&lt;&gt;"&amp;A358),"OVER BUDGET","OK"),"INVALID TEAM"))))</f>
        <v/>
      </c>
      <c r="K358" s="1" t="str">
        <f>IF(F358="SOLD",COUNTIF($F$4:F358,"SOLD"),"")</f>
        <v/>
      </c>
      <c r="L358" s="1" t="str">
        <f>IF(F358="UNSOLD",COUNTIF($F$4:F358,"UNSOLD"),"")</f>
        <v/>
      </c>
      <c r="M358" s="1" t="str">
        <f>IF(AND(F358="SOLD",G358='Team View'!$B$3),COUNTIFS($F$4:F358,"SOLD",$G$4:G358,'Team View'!$B$3),"")</f>
        <v/>
      </c>
    </row>
    <row r="359" spans="1:13">
      <c r="A359" s="1" t="str">
        <f t="shared" si="5"/>
        <v/>
      </c>
      <c r="B359" s="1"/>
      <c r="C359" s="1"/>
      <c r="D359" s="1"/>
      <c r="E359" s="7"/>
      <c r="F359" s="1"/>
      <c r="G359" s="1"/>
      <c r="H359" s="7"/>
      <c r="I359" s="1"/>
      <c r="J359" s="1" t="str">
        <f>IF(B359="","",IF(F359&lt;&gt;"SOLD","",IF(OR(G359="",H359=""),"SELECT TEAM &amp; PRICE",IFERROR(IF(H359&gt;INDEX(Teams!$B$4:$B$13,MATCH(G359,Teams!$A$4:$A$13,0))-SUMIFS($H$4:$H$503,$G$4:$G$503,G359,$F$4:$F$503,"SOLD",$A$4:$A$503,"&lt;&gt;"&amp;A359),"OVER BUDGET","OK"),"INVALID TEAM"))))</f>
        <v/>
      </c>
      <c r="K359" s="1" t="str">
        <f>IF(F359="SOLD",COUNTIF($F$4:F359,"SOLD"),"")</f>
        <v/>
      </c>
      <c r="L359" s="1" t="str">
        <f>IF(F359="UNSOLD",COUNTIF($F$4:F359,"UNSOLD"),"")</f>
        <v/>
      </c>
      <c r="M359" s="1" t="str">
        <f>IF(AND(F359="SOLD",G359='Team View'!$B$3),COUNTIFS($F$4:F359,"SOLD",$G$4:G359,'Team View'!$B$3),"")</f>
        <v/>
      </c>
    </row>
    <row r="360" spans="1:13">
      <c r="A360" s="1" t="str">
        <f t="shared" si="5"/>
        <v/>
      </c>
      <c r="B360" s="1"/>
      <c r="C360" s="1"/>
      <c r="D360" s="1"/>
      <c r="E360" s="7"/>
      <c r="F360" s="1"/>
      <c r="G360" s="1"/>
      <c r="H360" s="7"/>
      <c r="I360" s="1"/>
      <c r="J360" s="1" t="str">
        <f>IF(B360="","",IF(F360&lt;&gt;"SOLD","",IF(OR(G360="",H360=""),"SELECT TEAM &amp; PRICE",IFERROR(IF(H360&gt;INDEX(Teams!$B$4:$B$13,MATCH(G360,Teams!$A$4:$A$13,0))-SUMIFS($H$4:$H$503,$G$4:$G$503,G360,$F$4:$F$503,"SOLD",$A$4:$A$503,"&lt;&gt;"&amp;A360),"OVER BUDGET","OK"),"INVALID TEAM"))))</f>
        <v/>
      </c>
      <c r="K360" s="1" t="str">
        <f>IF(F360="SOLD",COUNTIF($F$4:F360,"SOLD"),"")</f>
        <v/>
      </c>
      <c r="L360" s="1" t="str">
        <f>IF(F360="UNSOLD",COUNTIF($F$4:F360,"UNSOLD"),"")</f>
        <v/>
      </c>
      <c r="M360" s="1" t="str">
        <f>IF(AND(F360="SOLD",G360='Team View'!$B$3),COUNTIFS($F$4:F360,"SOLD",$G$4:G360,'Team View'!$B$3),"")</f>
        <v/>
      </c>
    </row>
    <row r="361" spans="1:13">
      <c r="A361" s="1" t="str">
        <f t="shared" si="5"/>
        <v/>
      </c>
      <c r="B361" s="1"/>
      <c r="C361" s="1"/>
      <c r="D361" s="1"/>
      <c r="E361" s="7"/>
      <c r="F361" s="1"/>
      <c r="G361" s="1"/>
      <c r="H361" s="7"/>
      <c r="I361" s="1"/>
      <c r="J361" s="1" t="str">
        <f>IF(B361="","",IF(F361&lt;&gt;"SOLD","",IF(OR(G361="",H361=""),"SELECT TEAM &amp; PRICE",IFERROR(IF(H361&gt;INDEX(Teams!$B$4:$B$13,MATCH(G361,Teams!$A$4:$A$13,0))-SUMIFS($H$4:$H$503,$G$4:$G$503,G361,$F$4:$F$503,"SOLD",$A$4:$A$503,"&lt;&gt;"&amp;A361),"OVER BUDGET","OK"),"INVALID TEAM"))))</f>
        <v/>
      </c>
      <c r="K361" s="1" t="str">
        <f>IF(F361="SOLD",COUNTIF($F$4:F361,"SOLD"),"")</f>
        <v/>
      </c>
      <c r="L361" s="1" t="str">
        <f>IF(F361="UNSOLD",COUNTIF($F$4:F361,"UNSOLD"),"")</f>
        <v/>
      </c>
      <c r="M361" s="1" t="str">
        <f>IF(AND(F361="SOLD",G361='Team View'!$B$3),COUNTIFS($F$4:F361,"SOLD",$G$4:G361,'Team View'!$B$3),"")</f>
        <v/>
      </c>
    </row>
    <row r="362" spans="1:13">
      <c r="A362" s="1" t="str">
        <f t="shared" si="5"/>
        <v/>
      </c>
      <c r="B362" s="1"/>
      <c r="C362" s="1"/>
      <c r="D362" s="1"/>
      <c r="E362" s="7"/>
      <c r="F362" s="1"/>
      <c r="G362" s="1"/>
      <c r="H362" s="7"/>
      <c r="I362" s="1"/>
      <c r="J362" s="1" t="str">
        <f>IF(B362="","",IF(F362&lt;&gt;"SOLD","",IF(OR(G362="",H362=""),"SELECT TEAM &amp; PRICE",IFERROR(IF(H362&gt;INDEX(Teams!$B$4:$B$13,MATCH(G362,Teams!$A$4:$A$13,0))-SUMIFS($H$4:$H$503,$G$4:$G$503,G362,$F$4:$F$503,"SOLD",$A$4:$A$503,"&lt;&gt;"&amp;A362),"OVER BUDGET","OK"),"INVALID TEAM"))))</f>
        <v/>
      </c>
      <c r="K362" s="1" t="str">
        <f>IF(F362="SOLD",COUNTIF($F$4:F362,"SOLD"),"")</f>
        <v/>
      </c>
      <c r="L362" s="1" t="str">
        <f>IF(F362="UNSOLD",COUNTIF($F$4:F362,"UNSOLD"),"")</f>
        <v/>
      </c>
      <c r="M362" s="1" t="str">
        <f>IF(AND(F362="SOLD",G362='Team View'!$B$3),COUNTIFS($F$4:F362,"SOLD",$G$4:G362,'Team View'!$B$3),"")</f>
        <v/>
      </c>
    </row>
    <row r="363" spans="1:13">
      <c r="A363" s="1" t="str">
        <f t="shared" si="5"/>
        <v/>
      </c>
      <c r="B363" s="1"/>
      <c r="C363" s="1"/>
      <c r="D363" s="1"/>
      <c r="E363" s="7"/>
      <c r="F363" s="1"/>
      <c r="G363" s="1"/>
      <c r="H363" s="7"/>
      <c r="I363" s="1"/>
      <c r="J363" s="1" t="str">
        <f>IF(B363="","",IF(F363&lt;&gt;"SOLD","",IF(OR(G363="",H363=""),"SELECT TEAM &amp; PRICE",IFERROR(IF(H363&gt;INDEX(Teams!$B$4:$B$13,MATCH(G363,Teams!$A$4:$A$13,0))-SUMIFS($H$4:$H$503,$G$4:$G$503,G363,$F$4:$F$503,"SOLD",$A$4:$A$503,"&lt;&gt;"&amp;A363),"OVER BUDGET","OK"),"INVALID TEAM"))))</f>
        <v/>
      </c>
      <c r="K363" s="1" t="str">
        <f>IF(F363="SOLD",COUNTIF($F$4:F363,"SOLD"),"")</f>
        <v/>
      </c>
      <c r="L363" s="1" t="str">
        <f>IF(F363="UNSOLD",COUNTIF($F$4:F363,"UNSOLD"),"")</f>
        <v/>
      </c>
      <c r="M363" s="1" t="str">
        <f>IF(AND(F363="SOLD",G363='Team View'!$B$3),COUNTIFS($F$4:F363,"SOLD",$G$4:G363,'Team View'!$B$3),"")</f>
        <v/>
      </c>
    </row>
    <row r="364" spans="1:13">
      <c r="A364" s="1" t="str">
        <f t="shared" si="5"/>
        <v/>
      </c>
      <c r="B364" s="1"/>
      <c r="C364" s="1"/>
      <c r="D364" s="1"/>
      <c r="E364" s="7"/>
      <c r="F364" s="1"/>
      <c r="G364" s="1"/>
      <c r="H364" s="7"/>
      <c r="I364" s="1"/>
      <c r="J364" s="1" t="str">
        <f>IF(B364="","",IF(F364&lt;&gt;"SOLD","",IF(OR(G364="",H364=""),"SELECT TEAM &amp; PRICE",IFERROR(IF(H364&gt;INDEX(Teams!$B$4:$B$13,MATCH(G364,Teams!$A$4:$A$13,0))-SUMIFS($H$4:$H$503,$G$4:$G$503,G364,$F$4:$F$503,"SOLD",$A$4:$A$503,"&lt;&gt;"&amp;A364),"OVER BUDGET","OK"),"INVALID TEAM"))))</f>
        <v/>
      </c>
      <c r="K364" s="1" t="str">
        <f>IF(F364="SOLD",COUNTIF($F$4:F364,"SOLD"),"")</f>
        <v/>
      </c>
      <c r="L364" s="1" t="str">
        <f>IF(F364="UNSOLD",COUNTIF($F$4:F364,"UNSOLD"),"")</f>
        <v/>
      </c>
      <c r="M364" s="1" t="str">
        <f>IF(AND(F364="SOLD",G364='Team View'!$B$3),COUNTIFS($F$4:F364,"SOLD",$G$4:G364,'Team View'!$B$3),"")</f>
        <v/>
      </c>
    </row>
    <row r="365" spans="1:13">
      <c r="A365" s="1" t="str">
        <f t="shared" si="5"/>
        <v/>
      </c>
      <c r="B365" s="1"/>
      <c r="C365" s="1"/>
      <c r="D365" s="1"/>
      <c r="E365" s="7"/>
      <c r="F365" s="1"/>
      <c r="G365" s="1"/>
      <c r="H365" s="7"/>
      <c r="I365" s="1"/>
      <c r="J365" s="1" t="str">
        <f>IF(B365="","",IF(F365&lt;&gt;"SOLD","",IF(OR(G365="",H365=""),"SELECT TEAM &amp; PRICE",IFERROR(IF(H365&gt;INDEX(Teams!$B$4:$B$13,MATCH(G365,Teams!$A$4:$A$13,0))-SUMIFS($H$4:$H$503,$G$4:$G$503,G365,$F$4:$F$503,"SOLD",$A$4:$A$503,"&lt;&gt;"&amp;A365),"OVER BUDGET","OK"),"INVALID TEAM"))))</f>
        <v/>
      </c>
      <c r="K365" s="1" t="str">
        <f>IF(F365="SOLD",COUNTIF($F$4:F365,"SOLD"),"")</f>
        <v/>
      </c>
      <c r="L365" s="1" t="str">
        <f>IF(F365="UNSOLD",COUNTIF($F$4:F365,"UNSOLD"),"")</f>
        <v/>
      </c>
      <c r="M365" s="1" t="str">
        <f>IF(AND(F365="SOLD",G365='Team View'!$B$3),COUNTIFS($F$4:F365,"SOLD",$G$4:G365,'Team View'!$B$3),"")</f>
        <v/>
      </c>
    </row>
    <row r="366" spans="1:13">
      <c r="A366" s="1" t="str">
        <f t="shared" si="5"/>
        <v/>
      </c>
      <c r="B366" s="1"/>
      <c r="C366" s="1"/>
      <c r="D366" s="1"/>
      <c r="E366" s="7"/>
      <c r="F366" s="1"/>
      <c r="G366" s="1"/>
      <c r="H366" s="7"/>
      <c r="I366" s="1"/>
      <c r="J366" s="1" t="str">
        <f>IF(B366="","",IF(F366&lt;&gt;"SOLD","",IF(OR(G366="",H366=""),"SELECT TEAM &amp; PRICE",IFERROR(IF(H366&gt;INDEX(Teams!$B$4:$B$13,MATCH(G366,Teams!$A$4:$A$13,0))-SUMIFS($H$4:$H$503,$G$4:$G$503,G366,$F$4:$F$503,"SOLD",$A$4:$A$503,"&lt;&gt;"&amp;A366),"OVER BUDGET","OK"),"INVALID TEAM"))))</f>
        <v/>
      </c>
      <c r="K366" s="1" t="str">
        <f>IF(F366="SOLD",COUNTIF($F$4:F366,"SOLD"),"")</f>
        <v/>
      </c>
      <c r="L366" s="1" t="str">
        <f>IF(F366="UNSOLD",COUNTIF($F$4:F366,"UNSOLD"),"")</f>
        <v/>
      </c>
      <c r="M366" s="1" t="str">
        <f>IF(AND(F366="SOLD",G366='Team View'!$B$3),COUNTIFS($F$4:F366,"SOLD",$G$4:G366,'Team View'!$B$3),"")</f>
        <v/>
      </c>
    </row>
    <row r="367" spans="1:13">
      <c r="A367" s="1" t="str">
        <f t="shared" si="5"/>
        <v/>
      </c>
      <c r="B367" s="1"/>
      <c r="C367" s="1"/>
      <c r="D367" s="1"/>
      <c r="E367" s="7"/>
      <c r="F367" s="1"/>
      <c r="G367" s="1"/>
      <c r="H367" s="7"/>
      <c r="I367" s="1"/>
      <c r="J367" s="1" t="str">
        <f>IF(B367="","",IF(F367&lt;&gt;"SOLD","",IF(OR(G367="",H367=""),"SELECT TEAM &amp; PRICE",IFERROR(IF(H367&gt;INDEX(Teams!$B$4:$B$13,MATCH(G367,Teams!$A$4:$A$13,0))-SUMIFS($H$4:$H$503,$G$4:$G$503,G367,$F$4:$F$503,"SOLD",$A$4:$A$503,"&lt;&gt;"&amp;A367),"OVER BUDGET","OK"),"INVALID TEAM"))))</f>
        <v/>
      </c>
      <c r="K367" s="1" t="str">
        <f>IF(F367="SOLD",COUNTIF($F$4:F367,"SOLD"),"")</f>
        <v/>
      </c>
      <c r="L367" s="1" t="str">
        <f>IF(F367="UNSOLD",COUNTIF($F$4:F367,"UNSOLD"),"")</f>
        <v/>
      </c>
      <c r="M367" s="1" t="str">
        <f>IF(AND(F367="SOLD",G367='Team View'!$B$3),COUNTIFS($F$4:F367,"SOLD",$G$4:G367,'Team View'!$B$3),"")</f>
        <v/>
      </c>
    </row>
    <row r="368" spans="1:13">
      <c r="A368" s="1" t="str">
        <f t="shared" si="5"/>
        <v/>
      </c>
      <c r="B368" s="1"/>
      <c r="C368" s="1"/>
      <c r="D368" s="1"/>
      <c r="E368" s="7"/>
      <c r="F368" s="1"/>
      <c r="G368" s="1"/>
      <c r="H368" s="7"/>
      <c r="I368" s="1"/>
      <c r="J368" s="1" t="str">
        <f>IF(B368="","",IF(F368&lt;&gt;"SOLD","",IF(OR(G368="",H368=""),"SELECT TEAM &amp; PRICE",IFERROR(IF(H368&gt;INDEX(Teams!$B$4:$B$13,MATCH(G368,Teams!$A$4:$A$13,0))-SUMIFS($H$4:$H$503,$G$4:$G$503,G368,$F$4:$F$503,"SOLD",$A$4:$A$503,"&lt;&gt;"&amp;A368),"OVER BUDGET","OK"),"INVALID TEAM"))))</f>
        <v/>
      </c>
      <c r="K368" s="1" t="str">
        <f>IF(F368="SOLD",COUNTIF($F$4:F368,"SOLD"),"")</f>
        <v/>
      </c>
      <c r="L368" s="1" t="str">
        <f>IF(F368="UNSOLD",COUNTIF($F$4:F368,"UNSOLD"),"")</f>
        <v/>
      </c>
      <c r="M368" s="1" t="str">
        <f>IF(AND(F368="SOLD",G368='Team View'!$B$3),COUNTIFS($F$4:F368,"SOLD",$G$4:G368,'Team View'!$B$3),"")</f>
        <v/>
      </c>
    </row>
    <row r="369" spans="1:13">
      <c r="A369" s="1" t="str">
        <f t="shared" si="5"/>
        <v/>
      </c>
      <c r="B369" s="1"/>
      <c r="C369" s="1"/>
      <c r="D369" s="1"/>
      <c r="E369" s="7"/>
      <c r="F369" s="1"/>
      <c r="G369" s="1"/>
      <c r="H369" s="7"/>
      <c r="I369" s="1"/>
      <c r="J369" s="1" t="str">
        <f>IF(B369="","",IF(F369&lt;&gt;"SOLD","",IF(OR(G369="",H369=""),"SELECT TEAM &amp; PRICE",IFERROR(IF(H369&gt;INDEX(Teams!$B$4:$B$13,MATCH(G369,Teams!$A$4:$A$13,0))-SUMIFS($H$4:$H$503,$G$4:$G$503,G369,$F$4:$F$503,"SOLD",$A$4:$A$503,"&lt;&gt;"&amp;A369),"OVER BUDGET","OK"),"INVALID TEAM"))))</f>
        <v/>
      </c>
      <c r="K369" s="1" t="str">
        <f>IF(F369="SOLD",COUNTIF($F$4:F369,"SOLD"),"")</f>
        <v/>
      </c>
      <c r="L369" s="1" t="str">
        <f>IF(F369="UNSOLD",COUNTIF($F$4:F369,"UNSOLD"),"")</f>
        <v/>
      </c>
      <c r="M369" s="1" t="str">
        <f>IF(AND(F369="SOLD",G369='Team View'!$B$3),COUNTIFS($F$4:F369,"SOLD",$G$4:G369,'Team View'!$B$3),"")</f>
        <v/>
      </c>
    </row>
    <row r="370" spans="1:13">
      <c r="A370" s="1" t="str">
        <f t="shared" si="5"/>
        <v/>
      </c>
      <c r="B370" s="1"/>
      <c r="C370" s="1"/>
      <c r="D370" s="1"/>
      <c r="E370" s="7"/>
      <c r="F370" s="1"/>
      <c r="G370" s="1"/>
      <c r="H370" s="7"/>
      <c r="I370" s="1"/>
      <c r="J370" s="1" t="str">
        <f>IF(B370="","",IF(F370&lt;&gt;"SOLD","",IF(OR(G370="",H370=""),"SELECT TEAM &amp; PRICE",IFERROR(IF(H370&gt;INDEX(Teams!$B$4:$B$13,MATCH(G370,Teams!$A$4:$A$13,0))-SUMIFS($H$4:$H$503,$G$4:$G$503,G370,$F$4:$F$503,"SOLD",$A$4:$A$503,"&lt;&gt;"&amp;A370),"OVER BUDGET","OK"),"INVALID TEAM"))))</f>
        <v/>
      </c>
      <c r="K370" s="1" t="str">
        <f>IF(F370="SOLD",COUNTIF($F$4:F370,"SOLD"),"")</f>
        <v/>
      </c>
      <c r="L370" s="1" t="str">
        <f>IF(F370="UNSOLD",COUNTIF($F$4:F370,"UNSOLD"),"")</f>
        <v/>
      </c>
      <c r="M370" s="1" t="str">
        <f>IF(AND(F370="SOLD",G370='Team View'!$B$3),COUNTIFS($F$4:F370,"SOLD",$G$4:G370,'Team View'!$B$3),"")</f>
        <v/>
      </c>
    </row>
    <row r="371" spans="1:13">
      <c r="A371" s="1" t="str">
        <f t="shared" si="5"/>
        <v/>
      </c>
      <c r="B371" s="1"/>
      <c r="C371" s="1"/>
      <c r="D371" s="1"/>
      <c r="E371" s="7"/>
      <c r="F371" s="1"/>
      <c r="G371" s="1"/>
      <c r="H371" s="7"/>
      <c r="I371" s="1"/>
      <c r="J371" s="1" t="str">
        <f>IF(B371="","",IF(F371&lt;&gt;"SOLD","",IF(OR(G371="",H371=""),"SELECT TEAM &amp; PRICE",IFERROR(IF(H371&gt;INDEX(Teams!$B$4:$B$13,MATCH(G371,Teams!$A$4:$A$13,0))-SUMIFS($H$4:$H$503,$G$4:$G$503,G371,$F$4:$F$503,"SOLD",$A$4:$A$503,"&lt;&gt;"&amp;A371),"OVER BUDGET","OK"),"INVALID TEAM"))))</f>
        <v/>
      </c>
      <c r="K371" s="1" t="str">
        <f>IF(F371="SOLD",COUNTIF($F$4:F371,"SOLD"),"")</f>
        <v/>
      </c>
      <c r="L371" s="1" t="str">
        <f>IF(F371="UNSOLD",COUNTIF($F$4:F371,"UNSOLD"),"")</f>
        <v/>
      </c>
      <c r="M371" s="1" t="str">
        <f>IF(AND(F371="SOLD",G371='Team View'!$B$3),COUNTIFS($F$4:F371,"SOLD",$G$4:G371,'Team View'!$B$3),"")</f>
        <v/>
      </c>
    </row>
    <row r="372" spans="1:13">
      <c r="A372" s="1" t="str">
        <f t="shared" si="5"/>
        <v/>
      </c>
      <c r="B372" s="1"/>
      <c r="C372" s="1"/>
      <c r="D372" s="1"/>
      <c r="E372" s="7"/>
      <c r="F372" s="1"/>
      <c r="G372" s="1"/>
      <c r="H372" s="7"/>
      <c r="I372" s="1"/>
      <c r="J372" s="1" t="str">
        <f>IF(B372="","",IF(F372&lt;&gt;"SOLD","",IF(OR(G372="",H372=""),"SELECT TEAM &amp; PRICE",IFERROR(IF(H372&gt;INDEX(Teams!$B$4:$B$13,MATCH(G372,Teams!$A$4:$A$13,0))-SUMIFS($H$4:$H$503,$G$4:$G$503,G372,$F$4:$F$503,"SOLD",$A$4:$A$503,"&lt;&gt;"&amp;A372),"OVER BUDGET","OK"),"INVALID TEAM"))))</f>
        <v/>
      </c>
      <c r="K372" s="1" t="str">
        <f>IF(F372="SOLD",COUNTIF($F$4:F372,"SOLD"),"")</f>
        <v/>
      </c>
      <c r="L372" s="1" t="str">
        <f>IF(F372="UNSOLD",COUNTIF($F$4:F372,"UNSOLD"),"")</f>
        <v/>
      </c>
      <c r="M372" s="1" t="str">
        <f>IF(AND(F372="SOLD",G372='Team View'!$B$3),COUNTIFS($F$4:F372,"SOLD",$G$4:G372,'Team View'!$B$3),"")</f>
        <v/>
      </c>
    </row>
    <row r="373" spans="1:13">
      <c r="A373" s="1" t="str">
        <f t="shared" si="5"/>
        <v/>
      </c>
      <c r="B373" s="1"/>
      <c r="C373" s="1"/>
      <c r="D373" s="1"/>
      <c r="E373" s="7"/>
      <c r="F373" s="1"/>
      <c r="G373" s="1"/>
      <c r="H373" s="7"/>
      <c r="I373" s="1"/>
      <c r="J373" s="1" t="str">
        <f>IF(B373="","",IF(F373&lt;&gt;"SOLD","",IF(OR(G373="",H373=""),"SELECT TEAM &amp; PRICE",IFERROR(IF(H373&gt;INDEX(Teams!$B$4:$B$13,MATCH(G373,Teams!$A$4:$A$13,0))-SUMIFS($H$4:$H$503,$G$4:$G$503,G373,$F$4:$F$503,"SOLD",$A$4:$A$503,"&lt;&gt;"&amp;A373),"OVER BUDGET","OK"),"INVALID TEAM"))))</f>
        <v/>
      </c>
      <c r="K373" s="1" t="str">
        <f>IF(F373="SOLD",COUNTIF($F$4:F373,"SOLD"),"")</f>
        <v/>
      </c>
      <c r="L373" s="1" t="str">
        <f>IF(F373="UNSOLD",COUNTIF($F$4:F373,"UNSOLD"),"")</f>
        <v/>
      </c>
      <c r="M373" s="1" t="str">
        <f>IF(AND(F373="SOLD",G373='Team View'!$B$3),COUNTIFS($F$4:F373,"SOLD",$G$4:G373,'Team View'!$B$3),"")</f>
        <v/>
      </c>
    </row>
    <row r="374" spans="1:13">
      <c r="A374" s="1" t="str">
        <f t="shared" si="5"/>
        <v/>
      </c>
      <c r="B374" s="1"/>
      <c r="C374" s="1"/>
      <c r="D374" s="1"/>
      <c r="E374" s="7"/>
      <c r="F374" s="1"/>
      <c r="G374" s="1"/>
      <c r="H374" s="7"/>
      <c r="I374" s="1"/>
      <c r="J374" s="1" t="str">
        <f>IF(B374="","",IF(F374&lt;&gt;"SOLD","",IF(OR(G374="",H374=""),"SELECT TEAM &amp; PRICE",IFERROR(IF(H374&gt;INDEX(Teams!$B$4:$B$13,MATCH(G374,Teams!$A$4:$A$13,0))-SUMIFS($H$4:$H$503,$G$4:$G$503,G374,$F$4:$F$503,"SOLD",$A$4:$A$503,"&lt;&gt;"&amp;A374),"OVER BUDGET","OK"),"INVALID TEAM"))))</f>
        <v/>
      </c>
      <c r="K374" s="1" t="str">
        <f>IF(F374="SOLD",COUNTIF($F$4:F374,"SOLD"),"")</f>
        <v/>
      </c>
      <c r="L374" s="1" t="str">
        <f>IF(F374="UNSOLD",COUNTIF($F$4:F374,"UNSOLD"),"")</f>
        <v/>
      </c>
      <c r="M374" s="1" t="str">
        <f>IF(AND(F374="SOLD",G374='Team View'!$B$3),COUNTIFS($F$4:F374,"SOLD",$G$4:G374,'Team View'!$B$3),"")</f>
        <v/>
      </c>
    </row>
    <row r="375" spans="1:13">
      <c r="A375" s="1" t="str">
        <f t="shared" si="5"/>
        <v/>
      </c>
      <c r="B375" s="1"/>
      <c r="C375" s="1"/>
      <c r="D375" s="1"/>
      <c r="E375" s="7"/>
      <c r="F375" s="1"/>
      <c r="G375" s="1"/>
      <c r="H375" s="7"/>
      <c r="I375" s="1"/>
      <c r="J375" s="1" t="str">
        <f>IF(B375="","",IF(F375&lt;&gt;"SOLD","",IF(OR(G375="",H375=""),"SELECT TEAM &amp; PRICE",IFERROR(IF(H375&gt;INDEX(Teams!$B$4:$B$13,MATCH(G375,Teams!$A$4:$A$13,0))-SUMIFS($H$4:$H$503,$G$4:$G$503,G375,$F$4:$F$503,"SOLD",$A$4:$A$503,"&lt;&gt;"&amp;A375),"OVER BUDGET","OK"),"INVALID TEAM"))))</f>
        <v/>
      </c>
      <c r="K375" s="1" t="str">
        <f>IF(F375="SOLD",COUNTIF($F$4:F375,"SOLD"),"")</f>
        <v/>
      </c>
      <c r="L375" s="1" t="str">
        <f>IF(F375="UNSOLD",COUNTIF($F$4:F375,"UNSOLD"),"")</f>
        <v/>
      </c>
      <c r="M375" s="1" t="str">
        <f>IF(AND(F375="SOLD",G375='Team View'!$B$3),COUNTIFS($F$4:F375,"SOLD",$G$4:G375,'Team View'!$B$3),"")</f>
        <v/>
      </c>
    </row>
    <row r="376" spans="1:13">
      <c r="A376" s="1" t="str">
        <f t="shared" si="5"/>
        <v/>
      </c>
      <c r="B376" s="1"/>
      <c r="C376" s="1"/>
      <c r="D376" s="1"/>
      <c r="E376" s="7"/>
      <c r="F376" s="1"/>
      <c r="G376" s="1"/>
      <c r="H376" s="7"/>
      <c r="I376" s="1"/>
      <c r="J376" s="1" t="str">
        <f>IF(B376="","",IF(F376&lt;&gt;"SOLD","",IF(OR(G376="",H376=""),"SELECT TEAM &amp; PRICE",IFERROR(IF(H376&gt;INDEX(Teams!$B$4:$B$13,MATCH(G376,Teams!$A$4:$A$13,0))-SUMIFS($H$4:$H$503,$G$4:$G$503,G376,$F$4:$F$503,"SOLD",$A$4:$A$503,"&lt;&gt;"&amp;A376),"OVER BUDGET","OK"),"INVALID TEAM"))))</f>
        <v/>
      </c>
      <c r="K376" s="1" t="str">
        <f>IF(F376="SOLD",COUNTIF($F$4:F376,"SOLD"),"")</f>
        <v/>
      </c>
      <c r="L376" s="1" t="str">
        <f>IF(F376="UNSOLD",COUNTIF($F$4:F376,"UNSOLD"),"")</f>
        <v/>
      </c>
      <c r="M376" s="1" t="str">
        <f>IF(AND(F376="SOLD",G376='Team View'!$B$3),COUNTIFS($F$4:F376,"SOLD",$G$4:G376,'Team View'!$B$3),"")</f>
        <v/>
      </c>
    </row>
    <row r="377" spans="1:13">
      <c r="A377" s="1" t="str">
        <f t="shared" si="5"/>
        <v/>
      </c>
      <c r="B377" s="1"/>
      <c r="C377" s="1"/>
      <c r="D377" s="1"/>
      <c r="E377" s="7"/>
      <c r="F377" s="1"/>
      <c r="G377" s="1"/>
      <c r="H377" s="7"/>
      <c r="I377" s="1"/>
      <c r="J377" s="1" t="str">
        <f>IF(B377="","",IF(F377&lt;&gt;"SOLD","",IF(OR(G377="",H377=""),"SELECT TEAM &amp; PRICE",IFERROR(IF(H377&gt;INDEX(Teams!$B$4:$B$13,MATCH(G377,Teams!$A$4:$A$13,0))-SUMIFS($H$4:$H$503,$G$4:$G$503,G377,$F$4:$F$503,"SOLD",$A$4:$A$503,"&lt;&gt;"&amp;A377),"OVER BUDGET","OK"),"INVALID TEAM"))))</f>
        <v/>
      </c>
      <c r="K377" s="1" t="str">
        <f>IF(F377="SOLD",COUNTIF($F$4:F377,"SOLD"),"")</f>
        <v/>
      </c>
      <c r="L377" s="1" t="str">
        <f>IF(F377="UNSOLD",COUNTIF($F$4:F377,"UNSOLD"),"")</f>
        <v/>
      </c>
      <c r="M377" s="1" t="str">
        <f>IF(AND(F377="SOLD",G377='Team View'!$B$3),COUNTIFS($F$4:F377,"SOLD",$G$4:G377,'Team View'!$B$3),"")</f>
        <v/>
      </c>
    </row>
    <row r="378" spans="1:13">
      <c r="A378" s="1" t="str">
        <f t="shared" si="5"/>
        <v/>
      </c>
      <c r="B378" s="1"/>
      <c r="C378" s="1"/>
      <c r="D378" s="1"/>
      <c r="E378" s="7"/>
      <c r="F378" s="1"/>
      <c r="G378" s="1"/>
      <c r="H378" s="7"/>
      <c r="I378" s="1"/>
      <c r="J378" s="1" t="str">
        <f>IF(B378="","",IF(F378&lt;&gt;"SOLD","",IF(OR(G378="",H378=""),"SELECT TEAM &amp; PRICE",IFERROR(IF(H378&gt;INDEX(Teams!$B$4:$B$13,MATCH(G378,Teams!$A$4:$A$13,0))-SUMIFS($H$4:$H$503,$G$4:$G$503,G378,$F$4:$F$503,"SOLD",$A$4:$A$503,"&lt;&gt;"&amp;A378),"OVER BUDGET","OK"),"INVALID TEAM"))))</f>
        <v/>
      </c>
      <c r="K378" s="1" t="str">
        <f>IF(F378="SOLD",COUNTIF($F$4:F378,"SOLD"),"")</f>
        <v/>
      </c>
      <c r="L378" s="1" t="str">
        <f>IF(F378="UNSOLD",COUNTIF($F$4:F378,"UNSOLD"),"")</f>
        <v/>
      </c>
      <c r="M378" s="1" t="str">
        <f>IF(AND(F378="SOLD",G378='Team View'!$B$3),COUNTIFS($F$4:F378,"SOLD",$G$4:G378,'Team View'!$B$3),"")</f>
        <v/>
      </c>
    </row>
    <row r="379" spans="1:13">
      <c r="A379" s="1" t="str">
        <f t="shared" si="5"/>
        <v/>
      </c>
      <c r="B379" s="1"/>
      <c r="C379" s="1"/>
      <c r="D379" s="1"/>
      <c r="E379" s="7"/>
      <c r="F379" s="1"/>
      <c r="G379" s="1"/>
      <c r="H379" s="7"/>
      <c r="I379" s="1"/>
      <c r="J379" s="1" t="str">
        <f>IF(B379="","",IF(F379&lt;&gt;"SOLD","",IF(OR(G379="",H379=""),"SELECT TEAM &amp; PRICE",IFERROR(IF(H379&gt;INDEX(Teams!$B$4:$B$13,MATCH(G379,Teams!$A$4:$A$13,0))-SUMIFS($H$4:$H$503,$G$4:$G$503,G379,$F$4:$F$503,"SOLD",$A$4:$A$503,"&lt;&gt;"&amp;A379),"OVER BUDGET","OK"),"INVALID TEAM"))))</f>
        <v/>
      </c>
      <c r="K379" s="1" t="str">
        <f>IF(F379="SOLD",COUNTIF($F$4:F379,"SOLD"),"")</f>
        <v/>
      </c>
      <c r="L379" s="1" t="str">
        <f>IF(F379="UNSOLD",COUNTIF($F$4:F379,"UNSOLD"),"")</f>
        <v/>
      </c>
      <c r="M379" s="1" t="str">
        <f>IF(AND(F379="SOLD",G379='Team View'!$B$3),COUNTIFS($F$4:F379,"SOLD",$G$4:G379,'Team View'!$B$3),"")</f>
        <v/>
      </c>
    </row>
    <row r="380" spans="1:13">
      <c r="A380" s="1" t="str">
        <f t="shared" si="5"/>
        <v/>
      </c>
      <c r="B380" s="1"/>
      <c r="C380" s="1"/>
      <c r="D380" s="1"/>
      <c r="E380" s="7"/>
      <c r="F380" s="1"/>
      <c r="G380" s="1"/>
      <c r="H380" s="7"/>
      <c r="I380" s="1"/>
      <c r="J380" s="1" t="str">
        <f>IF(B380="","",IF(F380&lt;&gt;"SOLD","",IF(OR(G380="",H380=""),"SELECT TEAM &amp; PRICE",IFERROR(IF(H380&gt;INDEX(Teams!$B$4:$B$13,MATCH(G380,Teams!$A$4:$A$13,0))-SUMIFS($H$4:$H$503,$G$4:$G$503,G380,$F$4:$F$503,"SOLD",$A$4:$A$503,"&lt;&gt;"&amp;A380),"OVER BUDGET","OK"),"INVALID TEAM"))))</f>
        <v/>
      </c>
      <c r="K380" s="1" t="str">
        <f>IF(F380="SOLD",COUNTIF($F$4:F380,"SOLD"),"")</f>
        <v/>
      </c>
      <c r="L380" s="1" t="str">
        <f>IF(F380="UNSOLD",COUNTIF($F$4:F380,"UNSOLD"),"")</f>
        <v/>
      </c>
      <c r="M380" s="1" t="str">
        <f>IF(AND(F380="SOLD",G380='Team View'!$B$3),COUNTIFS($F$4:F380,"SOLD",$G$4:G380,'Team View'!$B$3),"")</f>
        <v/>
      </c>
    </row>
    <row r="381" spans="1:13">
      <c r="A381" s="1" t="str">
        <f t="shared" si="5"/>
        <v/>
      </c>
      <c r="B381" s="1"/>
      <c r="C381" s="1"/>
      <c r="D381" s="1"/>
      <c r="E381" s="7"/>
      <c r="F381" s="1"/>
      <c r="G381" s="1"/>
      <c r="H381" s="7"/>
      <c r="I381" s="1"/>
      <c r="J381" s="1" t="str">
        <f>IF(B381="","",IF(F381&lt;&gt;"SOLD","",IF(OR(G381="",H381=""),"SELECT TEAM &amp; PRICE",IFERROR(IF(H381&gt;INDEX(Teams!$B$4:$B$13,MATCH(G381,Teams!$A$4:$A$13,0))-SUMIFS($H$4:$H$503,$G$4:$G$503,G381,$F$4:$F$503,"SOLD",$A$4:$A$503,"&lt;&gt;"&amp;A381),"OVER BUDGET","OK"),"INVALID TEAM"))))</f>
        <v/>
      </c>
      <c r="K381" s="1" t="str">
        <f>IF(F381="SOLD",COUNTIF($F$4:F381,"SOLD"),"")</f>
        <v/>
      </c>
      <c r="L381" s="1" t="str">
        <f>IF(F381="UNSOLD",COUNTIF($F$4:F381,"UNSOLD"),"")</f>
        <v/>
      </c>
      <c r="M381" s="1" t="str">
        <f>IF(AND(F381="SOLD",G381='Team View'!$B$3),COUNTIFS($F$4:F381,"SOLD",$G$4:G381,'Team View'!$B$3),"")</f>
        <v/>
      </c>
    </row>
    <row r="382" spans="1:13">
      <c r="A382" s="1" t="str">
        <f t="shared" si="5"/>
        <v/>
      </c>
      <c r="B382" s="1"/>
      <c r="C382" s="1"/>
      <c r="D382" s="1"/>
      <c r="E382" s="7"/>
      <c r="F382" s="1"/>
      <c r="G382" s="1"/>
      <c r="H382" s="7"/>
      <c r="I382" s="1"/>
      <c r="J382" s="1" t="str">
        <f>IF(B382="","",IF(F382&lt;&gt;"SOLD","",IF(OR(G382="",H382=""),"SELECT TEAM &amp; PRICE",IFERROR(IF(H382&gt;INDEX(Teams!$B$4:$B$13,MATCH(G382,Teams!$A$4:$A$13,0))-SUMIFS($H$4:$H$503,$G$4:$G$503,G382,$F$4:$F$503,"SOLD",$A$4:$A$503,"&lt;&gt;"&amp;A382),"OVER BUDGET","OK"),"INVALID TEAM"))))</f>
        <v/>
      </c>
      <c r="K382" s="1" t="str">
        <f>IF(F382="SOLD",COUNTIF($F$4:F382,"SOLD"),"")</f>
        <v/>
      </c>
      <c r="L382" s="1" t="str">
        <f>IF(F382="UNSOLD",COUNTIF($F$4:F382,"UNSOLD"),"")</f>
        <v/>
      </c>
      <c r="M382" s="1" t="str">
        <f>IF(AND(F382="SOLD",G382='Team View'!$B$3),COUNTIFS($F$4:F382,"SOLD",$G$4:G382,'Team View'!$B$3),"")</f>
        <v/>
      </c>
    </row>
    <row r="383" spans="1:13">
      <c r="A383" s="1" t="str">
        <f t="shared" si="5"/>
        <v/>
      </c>
      <c r="B383" s="1"/>
      <c r="C383" s="1"/>
      <c r="D383" s="1"/>
      <c r="E383" s="7"/>
      <c r="F383" s="1"/>
      <c r="G383" s="1"/>
      <c r="H383" s="7"/>
      <c r="I383" s="1"/>
      <c r="J383" s="1" t="str">
        <f>IF(B383="","",IF(F383&lt;&gt;"SOLD","",IF(OR(G383="",H383=""),"SELECT TEAM &amp; PRICE",IFERROR(IF(H383&gt;INDEX(Teams!$B$4:$B$13,MATCH(G383,Teams!$A$4:$A$13,0))-SUMIFS($H$4:$H$503,$G$4:$G$503,G383,$F$4:$F$503,"SOLD",$A$4:$A$503,"&lt;&gt;"&amp;A383),"OVER BUDGET","OK"),"INVALID TEAM"))))</f>
        <v/>
      </c>
      <c r="K383" s="1" t="str">
        <f>IF(F383="SOLD",COUNTIF($F$4:F383,"SOLD"),"")</f>
        <v/>
      </c>
      <c r="L383" s="1" t="str">
        <f>IF(F383="UNSOLD",COUNTIF($F$4:F383,"UNSOLD"),"")</f>
        <v/>
      </c>
      <c r="M383" s="1" t="str">
        <f>IF(AND(F383="SOLD",G383='Team View'!$B$3),COUNTIFS($F$4:F383,"SOLD",$G$4:G383,'Team View'!$B$3),"")</f>
        <v/>
      </c>
    </row>
    <row r="384" spans="1:13">
      <c r="A384" s="1" t="str">
        <f t="shared" si="5"/>
        <v/>
      </c>
      <c r="B384" s="1"/>
      <c r="C384" s="1"/>
      <c r="D384" s="1"/>
      <c r="E384" s="7"/>
      <c r="F384" s="1"/>
      <c r="G384" s="1"/>
      <c r="H384" s="7"/>
      <c r="I384" s="1"/>
      <c r="J384" s="1" t="str">
        <f>IF(B384="","",IF(F384&lt;&gt;"SOLD","",IF(OR(G384="",H384=""),"SELECT TEAM &amp; PRICE",IFERROR(IF(H384&gt;INDEX(Teams!$B$4:$B$13,MATCH(G384,Teams!$A$4:$A$13,0))-SUMIFS($H$4:$H$503,$G$4:$G$503,G384,$F$4:$F$503,"SOLD",$A$4:$A$503,"&lt;&gt;"&amp;A384),"OVER BUDGET","OK"),"INVALID TEAM"))))</f>
        <v/>
      </c>
      <c r="K384" s="1" t="str">
        <f>IF(F384="SOLD",COUNTIF($F$4:F384,"SOLD"),"")</f>
        <v/>
      </c>
      <c r="L384" s="1" t="str">
        <f>IF(F384="UNSOLD",COUNTIF($F$4:F384,"UNSOLD"),"")</f>
        <v/>
      </c>
      <c r="M384" s="1" t="str">
        <f>IF(AND(F384="SOLD",G384='Team View'!$B$3),COUNTIFS($F$4:F384,"SOLD",$G$4:G384,'Team View'!$B$3),"")</f>
        <v/>
      </c>
    </row>
    <row r="385" spans="1:13">
      <c r="A385" s="1" t="str">
        <f t="shared" si="5"/>
        <v/>
      </c>
      <c r="B385" s="1"/>
      <c r="C385" s="1"/>
      <c r="D385" s="1"/>
      <c r="E385" s="7"/>
      <c r="F385" s="1"/>
      <c r="G385" s="1"/>
      <c r="H385" s="7"/>
      <c r="I385" s="1"/>
      <c r="J385" s="1" t="str">
        <f>IF(B385="","",IF(F385&lt;&gt;"SOLD","",IF(OR(G385="",H385=""),"SELECT TEAM &amp; PRICE",IFERROR(IF(H385&gt;INDEX(Teams!$B$4:$B$13,MATCH(G385,Teams!$A$4:$A$13,0))-SUMIFS($H$4:$H$503,$G$4:$G$503,G385,$F$4:$F$503,"SOLD",$A$4:$A$503,"&lt;&gt;"&amp;A385),"OVER BUDGET","OK"),"INVALID TEAM"))))</f>
        <v/>
      </c>
      <c r="K385" s="1" t="str">
        <f>IF(F385="SOLD",COUNTIF($F$4:F385,"SOLD"),"")</f>
        <v/>
      </c>
      <c r="L385" s="1" t="str">
        <f>IF(F385="UNSOLD",COUNTIF($F$4:F385,"UNSOLD"),"")</f>
        <v/>
      </c>
      <c r="M385" s="1" t="str">
        <f>IF(AND(F385="SOLD",G385='Team View'!$B$3),COUNTIFS($F$4:F385,"SOLD",$G$4:G385,'Team View'!$B$3),"")</f>
        <v/>
      </c>
    </row>
    <row r="386" spans="1:13">
      <c r="A386" s="1" t="str">
        <f t="shared" si="5"/>
        <v/>
      </c>
      <c r="B386" s="1"/>
      <c r="C386" s="1"/>
      <c r="D386" s="1"/>
      <c r="E386" s="7"/>
      <c r="F386" s="1"/>
      <c r="G386" s="1"/>
      <c r="H386" s="7"/>
      <c r="I386" s="1"/>
      <c r="J386" s="1" t="str">
        <f>IF(B386="","",IF(F386&lt;&gt;"SOLD","",IF(OR(G386="",H386=""),"SELECT TEAM &amp; PRICE",IFERROR(IF(H386&gt;INDEX(Teams!$B$4:$B$13,MATCH(G386,Teams!$A$4:$A$13,0))-SUMIFS($H$4:$H$503,$G$4:$G$503,G386,$F$4:$F$503,"SOLD",$A$4:$A$503,"&lt;&gt;"&amp;A386),"OVER BUDGET","OK"),"INVALID TEAM"))))</f>
        <v/>
      </c>
      <c r="K386" s="1" t="str">
        <f>IF(F386="SOLD",COUNTIF($F$4:F386,"SOLD"),"")</f>
        <v/>
      </c>
      <c r="L386" s="1" t="str">
        <f>IF(F386="UNSOLD",COUNTIF($F$4:F386,"UNSOLD"),"")</f>
        <v/>
      </c>
      <c r="M386" s="1" t="str">
        <f>IF(AND(F386="SOLD",G386='Team View'!$B$3),COUNTIFS($F$4:F386,"SOLD",$G$4:G386,'Team View'!$B$3),"")</f>
        <v/>
      </c>
    </row>
    <row r="387" spans="1:13">
      <c r="A387" s="1" t="str">
        <f t="shared" si="5"/>
        <v/>
      </c>
      <c r="B387" s="1"/>
      <c r="C387" s="1"/>
      <c r="D387" s="1"/>
      <c r="E387" s="7"/>
      <c r="F387" s="1"/>
      <c r="G387" s="1"/>
      <c r="H387" s="7"/>
      <c r="I387" s="1"/>
      <c r="J387" s="1" t="str">
        <f>IF(B387="","",IF(F387&lt;&gt;"SOLD","",IF(OR(G387="",H387=""),"SELECT TEAM &amp; PRICE",IFERROR(IF(H387&gt;INDEX(Teams!$B$4:$B$13,MATCH(G387,Teams!$A$4:$A$13,0))-SUMIFS($H$4:$H$503,$G$4:$G$503,G387,$F$4:$F$503,"SOLD",$A$4:$A$503,"&lt;&gt;"&amp;A387),"OVER BUDGET","OK"),"INVALID TEAM"))))</f>
        <v/>
      </c>
      <c r="K387" s="1" t="str">
        <f>IF(F387="SOLD",COUNTIF($F$4:F387,"SOLD"),"")</f>
        <v/>
      </c>
      <c r="L387" s="1" t="str">
        <f>IF(F387="UNSOLD",COUNTIF($F$4:F387,"UNSOLD"),"")</f>
        <v/>
      </c>
      <c r="M387" s="1" t="str">
        <f>IF(AND(F387="SOLD",G387='Team View'!$B$3),COUNTIFS($F$4:F387,"SOLD",$G$4:G387,'Team View'!$B$3),"")</f>
        <v/>
      </c>
    </row>
    <row r="388" spans="1:13">
      <c r="A388" s="1" t="str">
        <f t="shared" ref="A388:A451" si="6">IF(B388="","",ROW()-3)</f>
        <v/>
      </c>
      <c r="B388" s="1"/>
      <c r="C388" s="1"/>
      <c r="D388" s="1"/>
      <c r="E388" s="7"/>
      <c r="F388" s="1"/>
      <c r="G388" s="1"/>
      <c r="H388" s="7"/>
      <c r="I388" s="1"/>
      <c r="J388" s="1" t="str">
        <f>IF(B388="","",IF(F388&lt;&gt;"SOLD","",IF(OR(G388="",H388=""),"SELECT TEAM &amp; PRICE",IFERROR(IF(H388&gt;INDEX(Teams!$B$4:$B$13,MATCH(G388,Teams!$A$4:$A$13,0))-SUMIFS($H$4:$H$503,$G$4:$G$503,G388,$F$4:$F$503,"SOLD",$A$4:$A$503,"&lt;&gt;"&amp;A388),"OVER BUDGET","OK"),"INVALID TEAM"))))</f>
        <v/>
      </c>
      <c r="K388" s="1" t="str">
        <f>IF(F388="SOLD",COUNTIF($F$4:F388,"SOLD"),"")</f>
        <v/>
      </c>
      <c r="L388" s="1" t="str">
        <f>IF(F388="UNSOLD",COUNTIF($F$4:F388,"UNSOLD"),"")</f>
        <v/>
      </c>
      <c r="M388" s="1" t="str">
        <f>IF(AND(F388="SOLD",G388='Team View'!$B$3),COUNTIFS($F$4:F388,"SOLD",$G$4:G388,'Team View'!$B$3),"")</f>
        <v/>
      </c>
    </row>
    <row r="389" spans="1:13">
      <c r="A389" s="1" t="str">
        <f t="shared" si="6"/>
        <v/>
      </c>
      <c r="B389" s="1"/>
      <c r="C389" s="1"/>
      <c r="D389" s="1"/>
      <c r="E389" s="7"/>
      <c r="F389" s="1"/>
      <c r="G389" s="1"/>
      <c r="H389" s="7"/>
      <c r="I389" s="1"/>
      <c r="J389" s="1" t="str">
        <f>IF(B389="","",IF(F389&lt;&gt;"SOLD","",IF(OR(G389="",H389=""),"SELECT TEAM &amp; PRICE",IFERROR(IF(H389&gt;INDEX(Teams!$B$4:$B$13,MATCH(G389,Teams!$A$4:$A$13,0))-SUMIFS($H$4:$H$503,$G$4:$G$503,G389,$F$4:$F$503,"SOLD",$A$4:$A$503,"&lt;&gt;"&amp;A389),"OVER BUDGET","OK"),"INVALID TEAM"))))</f>
        <v/>
      </c>
      <c r="K389" s="1" t="str">
        <f>IF(F389="SOLD",COUNTIF($F$4:F389,"SOLD"),"")</f>
        <v/>
      </c>
      <c r="L389" s="1" t="str">
        <f>IF(F389="UNSOLD",COUNTIF($F$4:F389,"UNSOLD"),"")</f>
        <v/>
      </c>
      <c r="M389" s="1" t="str">
        <f>IF(AND(F389="SOLD",G389='Team View'!$B$3),COUNTIFS($F$4:F389,"SOLD",$G$4:G389,'Team View'!$B$3),"")</f>
        <v/>
      </c>
    </row>
    <row r="390" spans="1:13">
      <c r="A390" s="1" t="str">
        <f t="shared" si="6"/>
        <v/>
      </c>
      <c r="B390" s="1"/>
      <c r="C390" s="1"/>
      <c r="D390" s="1"/>
      <c r="E390" s="7"/>
      <c r="F390" s="1"/>
      <c r="G390" s="1"/>
      <c r="H390" s="7"/>
      <c r="I390" s="1"/>
      <c r="J390" s="1" t="str">
        <f>IF(B390="","",IF(F390&lt;&gt;"SOLD","",IF(OR(G390="",H390=""),"SELECT TEAM &amp; PRICE",IFERROR(IF(H390&gt;INDEX(Teams!$B$4:$B$13,MATCH(G390,Teams!$A$4:$A$13,0))-SUMIFS($H$4:$H$503,$G$4:$G$503,G390,$F$4:$F$503,"SOLD",$A$4:$A$503,"&lt;&gt;"&amp;A390),"OVER BUDGET","OK"),"INVALID TEAM"))))</f>
        <v/>
      </c>
      <c r="K390" s="1" t="str">
        <f>IF(F390="SOLD",COUNTIF($F$4:F390,"SOLD"),"")</f>
        <v/>
      </c>
      <c r="L390" s="1" t="str">
        <f>IF(F390="UNSOLD",COUNTIF($F$4:F390,"UNSOLD"),"")</f>
        <v/>
      </c>
      <c r="M390" s="1" t="str">
        <f>IF(AND(F390="SOLD",G390='Team View'!$B$3),COUNTIFS($F$4:F390,"SOLD",$G$4:G390,'Team View'!$B$3),"")</f>
        <v/>
      </c>
    </row>
    <row r="391" spans="1:13">
      <c r="A391" s="1" t="str">
        <f t="shared" si="6"/>
        <v/>
      </c>
      <c r="B391" s="1"/>
      <c r="C391" s="1"/>
      <c r="D391" s="1"/>
      <c r="E391" s="7"/>
      <c r="F391" s="1"/>
      <c r="G391" s="1"/>
      <c r="H391" s="7"/>
      <c r="I391" s="1"/>
      <c r="J391" s="1" t="str">
        <f>IF(B391="","",IF(F391&lt;&gt;"SOLD","",IF(OR(G391="",H391=""),"SELECT TEAM &amp; PRICE",IFERROR(IF(H391&gt;INDEX(Teams!$B$4:$B$13,MATCH(G391,Teams!$A$4:$A$13,0))-SUMIFS($H$4:$H$503,$G$4:$G$503,G391,$F$4:$F$503,"SOLD",$A$4:$A$503,"&lt;&gt;"&amp;A391),"OVER BUDGET","OK"),"INVALID TEAM"))))</f>
        <v/>
      </c>
      <c r="K391" s="1" t="str">
        <f>IF(F391="SOLD",COUNTIF($F$4:F391,"SOLD"),"")</f>
        <v/>
      </c>
      <c r="L391" s="1" t="str">
        <f>IF(F391="UNSOLD",COUNTIF($F$4:F391,"UNSOLD"),"")</f>
        <v/>
      </c>
      <c r="M391" s="1" t="str">
        <f>IF(AND(F391="SOLD",G391='Team View'!$B$3),COUNTIFS($F$4:F391,"SOLD",$G$4:G391,'Team View'!$B$3),"")</f>
        <v/>
      </c>
    </row>
    <row r="392" spans="1:13">
      <c r="A392" s="1" t="str">
        <f t="shared" si="6"/>
        <v/>
      </c>
      <c r="B392" s="1"/>
      <c r="C392" s="1"/>
      <c r="D392" s="1"/>
      <c r="E392" s="7"/>
      <c r="F392" s="1"/>
      <c r="G392" s="1"/>
      <c r="H392" s="7"/>
      <c r="I392" s="1"/>
      <c r="J392" s="1" t="str">
        <f>IF(B392="","",IF(F392&lt;&gt;"SOLD","",IF(OR(G392="",H392=""),"SELECT TEAM &amp; PRICE",IFERROR(IF(H392&gt;INDEX(Teams!$B$4:$B$13,MATCH(G392,Teams!$A$4:$A$13,0))-SUMIFS($H$4:$H$503,$G$4:$G$503,G392,$F$4:$F$503,"SOLD",$A$4:$A$503,"&lt;&gt;"&amp;A392),"OVER BUDGET","OK"),"INVALID TEAM"))))</f>
        <v/>
      </c>
      <c r="K392" s="1" t="str">
        <f>IF(F392="SOLD",COUNTIF($F$4:F392,"SOLD"),"")</f>
        <v/>
      </c>
      <c r="L392" s="1" t="str">
        <f>IF(F392="UNSOLD",COUNTIF($F$4:F392,"UNSOLD"),"")</f>
        <v/>
      </c>
      <c r="M392" s="1" t="str">
        <f>IF(AND(F392="SOLD",G392='Team View'!$B$3),COUNTIFS($F$4:F392,"SOLD",$G$4:G392,'Team View'!$B$3),"")</f>
        <v/>
      </c>
    </row>
    <row r="393" spans="1:13">
      <c r="A393" s="1" t="str">
        <f t="shared" si="6"/>
        <v/>
      </c>
      <c r="B393" s="1"/>
      <c r="C393" s="1"/>
      <c r="D393" s="1"/>
      <c r="E393" s="7"/>
      <c r="F393" s="1"/>
      <c r="G393" s="1"/>
      <c r="H393" s="7"/>
      <c r="I393" s="1"/>
      <c r="J393" s="1" t="str">
        <f>IF(B393="","",IF(F393&lt;&gt;"SOLD","",IF(OR(G393="",H393=""),"SELECT TEAM &amp; PRICE",IFERROR(IF(H393&gt;INDEX(Teams!$B$4:$B$13,MATCH(G393,Teams!$A$4:$A$13,0))-SUMIFS($H$4:$H$503,$G$4:$G$503,G393,$F$4:$F$503,"SOLD",$A$4:$A$503,"&lt;&gt;"&amp;A393),"OVER BUDGET","OK"),"INVALID TEAM"))))</f>
        <v/>
      </c>
      <c r="K393" s="1" t="str">
        <f>IF(F393="SOLD",COUNTIF($F$4:F393,"SOLD"),"")</f>
        <v/>
      </c>
      <c r="L393" s="1" t="str">
        <f>IF(F393="UNSOLD",COUNTIF($F$4:F393,"UNSOLD"),"")</f>
        <v/>
      </c>
      <c r="M393" s="1" t="str">
        <f>IF(AND(F393="SOLD",G393='Team View'!$B$3),COUNTIFS($F$4:F393,"SOLD",$G$4:G393,'Team View'!$B$3),"")</f>
        <v/>
      </c>
    </row>
    <row r="394" spans="1:13">
      <c r="A394" s="1" t="str">
        <f t="shared" si="6"/>
        <v/>
      </c>
      <c r="B394" s="1"/>
      <c r="C394" s="1"/>
      <c r="D394" s="1"/>
      <c r="E394" s="7"/>
      <c r="F394" s="1"/>
      <c r="G394" s="1"/>
      <c r="H394" s="7"/>
      <c r="I394" s="1"/>
      <c r="J394" s="1" t="str">
        <f>IF(B394="","",IF(F394&lt;&gt;"SOLD","",IF(OR(G394="",H394=""),"SELECT TEAM &amp; PRICE",IFERROR(IF(H394&gt;INDEX(Teams!$B$4:$B$13,MATCH(G394,Teams!$A$4:$A$13,0))-SUMIFS($H$4:$H$503,$G$4:$G$503,G394,$F$4:$F$503,"SOLD",$A$4:$A$503,"&lt;&gt;"&amp;A394),"OVER BUDGET","OK"),"INVALID TEAM"))))</f>
        <v/>
      </c>
      <c r="K394" s="1" t="str">
        <f>IF(F394="SOLD",COUNTIF($F$4:F394,"SOLD"),"")</f>
        <v/>
      </c>
      <c r="L394" s="1" t="str">
        <f>IF(F394="UNSOLD",COUNTIF($F$4:F394,"UNSOLD"),"")</f>
        <v/>
      </c>
      <c r="M394" s="1" t="str">
        <f>IF(AND(F394="SOLD",G394='Team View'!$B$3),COUNTIFS($F$4:F394,"SOLD",$G$4:G394,'Team View'!$B$3),"")</f>
        <v/>
      </c>
    </row>
    <row r="395" spans="1:13">
      <c r="A395" s="1" t="str">
        <f t="shared" si="6"/>
        <v/>
      </c>
      <c r="B395" s="1"/>
      <c r="C395" s="1"/>
      <c r="D395" s="1"/>
      <c r="E395" s="7"/>
      <c r="F395" s="1"/>
      <c r="G395" s="1"/>
      <c r="H395" s="7"/>
      <c r="I395" s="1"/>
      <c r="J395" s="1" t="str">
        <f>IF(B395="","",IF(F395&lt;&gt;"SOLD","",IF(OR(G395="",H395=""),"SELECT TEAM &amp; PRICE",IFERROR(IF(H395&gt;INDEX(Teams!$B$4:$B$13,MATCH(G395,Teams!$A$4:$A$13,0))-SUMIFS($H$4:$H$503,$G$4:$G$503,G395,$F$4:$F$503,"SOLD",$A$4:$A$503,"&lt;&gt;"&amp;A395),"OVER BUDGET","OK"),"INVALID TEAM"))))</f>
        <v/>
      </c>
      <c r="K395" s="1" t="str">
        <f>IF(F395="SOLD",COUNTIF($F$4:F395,"SOLD"),"")</f>
        <v/>
      </c>
      <c r="L395" s="1" t="str">
        <f>IF(F395="UNSOLD",COUNTIF($F$4:F395,"UNSOLD"),"")</f>
        <v/>
      </c>
      <c r="M395" s="1" t="str">
        <f>IF(AND(F395="SOLD",G395='Team View'!$B$3),COUNTIFS($F$4:F395,"SOLD",$G$4:G395,'Team View'!$B$3),"")</f>
        <v/>
      </c>
    </row>
    <row r="396" spans="1:13">
      <c r="A396" s="1" t="str">
        <f t="shared" si="6"/>
        <v/>
      </c>
      <c r="B396" s="1"/>
      <c r="C396" s="1"/>
      <c r="D396" s="1"/>
      <c r="E396" s="7"/>
      <c r="F396" s="1"/>
      <c r="G396" s="1"/>
      <c r="H396" s="7"/>
      <c r="I396" s="1"/>
      <c r="J396" s="1" t="str">
        <f>IF(B396="","",IF(F396&lt;&gt;"SOLD","",IF(OR(G396="",H396=""),"SELECT TEAM &amp; PRICE",IFERROR(IF(H396&gt;INDEX(Teams!$B$4:$B$13,MATCH(G396,Teams!$A$4:$A$13,0))-SUMIFS($H$4:$H$503,$G$4:$G$503,G396,$F$4:$F$503,"SOLD",$A$4:$A$503,"&lt;&gt;"&amp;A396),"OVER BUDGET","OK"),"INVALID TEAM"))))</f>
        <v/>
      </c>
      <c r="K396" s="1" t="str">
        <f>IF(F396="SOLD",COUNTIF($F$4:F396,"SOLD"),"")</f>
        <v/>
      </c>
      <c r="L396" s="1" t="str">
        <f>IF(F396="UNSOLD",COUNTIF($F$4:F396,"UNSOLD"),"")</f>
        <v/>
      </c>
      <c r="M396" s="1" t="str">
        <f>IF(AND(F396="SOLD",G396='Team View'!$B$3),COUNTIFS($F$4:F396,"SOLD",$G$4:G396,'Team View'!$B$3),"")</f>
        <v/>
      </c>
    </row>
    <row r="397" spans="1:13">
      <c r="A397" s="1" t="str">
        <f t="shared" si="6"/>
        <v/>
      </c>
      <c r="B397" s="1"/>
      <c r="C397" s="1"/>
      <c r="D397" s="1"/>
      <c r="E397" s="7"/>
      <c r="F397" s="1"/>
      <c r="G397" s="1"/>
      <c r="H397" s="7"/>
      <c r="I397" s="1"/>
      <c r="J397" s="1" t="str">
        <f>IF(B397="","",IF(F397&lt;&gt;"SOLD","",IF(OR(G397="",H397=""),"SELECT TEAM &amp; PRICE",IFERROR(IF(H397&gt;INDEX(Teams!$B$4:$B$13,MATCH(G397,Teams!$A$4:$A$13,0))-SUMIFS($H$4:$H$503,$G$4:$G$503,G397,$F$4:$F$503,"SOLD",$A$4:$A$503,"&lt;&gt;"&amp;A397),"OVER BUDGET","OK"),"INVALID TEAM"))))</f>
        <v/>
      </c>
      <c r="K397" s="1" t="str">
        <f>IF(F397="SOLD",COUNTIF($F$4:F397,"SOLD"),"")</f>
        <v/>
      </c>
      <c r="L397" s="1" t="str">
        <f>IF(F397="UNSOLD",COUNTIF($F$4:F397,"UNSOLD"),"")</f>
        <v/>
      </c>
      <c r="M397" s="1" t="str">
        <f>IF(AND(F397="SOLD",G397='Team View'!$B$3),COUNTIFS($F$4:F397,"SOLD",$G$4:G397,'Team View'!$B$3),"")</f>
        <v/>
      </c>
    </row>
    <row r="398" spans="1:13">
      <c r="A398" s="1" t="str">
        <f t="shared" si="6"/>
        <v/>
      </c>
      <c r="B398" s="1"/>
      <c r="C398" s="1"/>
      <c r="D398" s="1"/>
      <c r="E398" s="7"/>
      <c r="F398" s="1"/>
      <c r="G398" s="1"/>
      <c r="H398" s="7"/>
      <c r="I398" s="1"/>
      <c r="J398" s="1" t="str">
        <f>IF(B398="","",IF(F398&lt;&gt;"SOLD","",IF(OR(G398="",H398=""),"SELECT TEAM &amp; PRICE",IFERROR(IF(H398&gt;INDEX(Teams!$B$4:$B$13,MATCH(G398,Teams!$A$4:$A$13,0))-SUMIFS($H$4:$H$503,$G$4:$G$503,G398,$F$4:$F$503,"SOLD",$A$4:$A$503,"&lt;&gt;"&amp;A398),"OVER BUDGET","OK"),"INVALID TEAM"))))</f>
        <v/>
      </c>
      <c r="K398" s="1" t="str">
        <f>IF(F398="SOLD",COUNTIF($F$4:F398,"SOLD"),"")</f>
        <v/>
      </c>
      <c r="L398" s="1" t="str">
        <f>IF(F398="UNSOLD",COUNTIF($F$4:F398,"UNSOLD"),"")</f>
        <v/>
      </c>
      <c r="M398" s="1" t="str">
        <f>IF(AND(F398="SOLD",G398='Team View'!$B$3),COUNTIFS($F$4:F398,"SOLD",$G$4:G398,'Team View'!$B$3),"")</f>
        <v/>
      </c>
    </row>
    <row r="399" spans="1:13">
      <c r="A399" s="1" t="str">
        <f t="shared" si="6"/>
        <v/>
      </c>
      <c r="B399" s="1"/>
      <c r="C399" s="1"/>
      <c r="D399" s="1"/>
      <c r="E399" s="7"/>
      <c r="F399" s="1"/>
      <c r="G399" s="1"/>
      <c r="H399" s="7"/>
      <c r="I399" s="1"/>
      <c r="J399" s="1" t="str">
        <f>IF(B399="","",IF(F399&lt;&gt;"SOLD","",IF(OR(G399="",H399=""),"SELECT TEAM &amp; PRICE",IFERROR(IF(H399&gt;INDEX(Teams!$B$4:$B$13,MATCH(G399,Teams!$A$4:$A$13,0))-SUMIFS($H$4:$H$503,$G$4:$G$503,G399,$F$4:$F$503,"SOLD",$A$4:$A$503,"&lt;&gt;"&amp;A399),"OVER BUDGET","OK"),"INVALID TEAM"))))</f>
        <v/>
      </c>
      <c r="K399" s="1" t="str">
        <f>IF(F399="SOLD",COUNTIF($F$4:F399,"SOLD"),"")</f>
        <v/>
      </c>
      <c r="L399" s="1" t="str">
        <f>IF(F399="UNSOLD",COUNTIF($F$4:F399,"UNSOLD"),"")</f>
        <v/>
      </c>
      <c r="M399" s="1" t="str">
        <f>IF(AND(F399="SOLD",G399='Team View'!$B$3),COUNTIFS($F$4:F399,"SOLD",$G$4:G399,'Team View'!$B$3),"")</f>
        <v/>
      </c>
    </row>
    <row r="400" spans="1:13">
      <c r="A400" s="1" t="str">
        <f t="shared" si="6"/>
        <v/>
      </c>
      <c r="B400" s="1"/>
      <c r="C400" s="1"/>
      <c r="D400" s="1"/>
      <c r="E400" s="7"/>
      <c r="F400" s="1"/>
      <c r="G400" s="1"/>
      <c r="H400" s="7"/>
      <c r="I400" s="1"/>
      <c r="J400" s="1" t="str">
        <f>IF(B400="","",IF(F400&lt;&gt;"SOLD","",IF(OR(G400="",H400=""),"SELECT TEAM &amp; PRICE",IFERROR(IF(H400&gt;INDEX(Teams!$B$4:$B$13,MATCH(G400,Teams!$A$4:$A$13,0))-SUMIFS($H$4:$H$503,$G$4:$G$503,G400,$F$4:$F$503,"SOLD",$A$4:$A$503,"&lt;&gt;"&amp;A400),"OVER BUDGET","OK"),"INVALID TEAM"))))</f>
        <v/>
      </c>
      <c r="K400" s="1" t="str">
        <f>IF(F400="SOLD",COUNTIF($F$4:F400,"SOLD"),"")</f>
        <v/>
      </c>
      <c r="L400" s="1" t="str">
        <f>IF(F400="UNSOLD",COUNTIF($F$4:F400,"UNSOLD"),"")</f>
        <v/>
      </c>
      <c r="M400" s="1" t="str">
        <f>IF(AND(F400="SOLD",G400='Team View'!$B$3),COUNTIFS($F$4:F400,"SOLD",$G$4:G400,'Team View'!$B$3),"")</f>
        <v/>
      </c>
    </row>
    <row r="401" spans="1:13">
      <c r="A401" s="1" t="str">
        <f t="shared" si="6"/>
        <v/>
      </c>
      <c r="B401" s="1"/>
      <c r="C401" s="1"/>
      <c r="D401" s="1"/>
      <c r="E401" s="7"/>
      <c r="F401" s="1"/>
      <c r="G401" s="1"/>
      <c r="H401" s="7"/>
      <c r="I401" s="1"/>
      <c r="J401" s="1" t="str">
        <f>IF(B401="","",IF(F401&lt;&gt;"SOLD","",IF(OR(G401="",H401=""),"SELECT TEAM &amp; PRICE",IFERROR(IF(H401&gt;INDEX(Teams!$B$4:$B$13,MATCH(G401,Teams!$A$4:$A$13,0))-SUMIFS($H$4:$H$503,$G$4:$G$503,G401,$F$4:$F$503,"SOLD",$A$4:$A$503,"&lt;&gt;"&amp;A401),"OVER BUDGET","OK"),"INVALID TEAM"))))</f>
        <v/>
      </c>
      <c r="K401" s="1" t="str">
        <f>IF(F401="SOLD",COUNTIF($F$4:F401,"SOLD"),"")</f>
        <v/>
      </c>
      <c r="L401" s="1" t="str">
        <f>IF(F401="UNSOLD",COUNTIF($F$4:F401,"UNSOLD"),"")</f>
        <v/>
      </c>
      <c r="M401" s="1" t="str">
        <f>IF(AND(F401="SOLD",G401='Team View'!$B$3),COUNTIFS($F$4:F401,"SOLD",$G$4:G401,'Team View'!$B$3),"")</f>
        <v/>
      </c>
    </row>
    <row r="402" spans="1:13">
      <c r="A402" s="1" t="str">
        <f t="shared" si="6"/>
        <v/>
      </c>
      <c r="B402" s="1"/>
      <c r="C402" s="1"/>
      <c r="D402" s="1"/>
      <c r="E402" s="7"/>
      <c r="F402" s="1"/>
      <c r="G402" s="1"/>
      <c r="H402" s="7"/>
      <c r="I402" s="1"/>
      <c r="J402" s="1" t="str">
        <f>IF(B402="","",IF(F402&lt;&gt;"SOLD","",IF(OR(G402="",H402=""),"SELECT TEAM &amp; PRICE",IFERROR(IF(H402&gt;INDEX(Teams!$B$4:$B$13,MATCH(G402,Teams!$A$4:$A$13,0))-SUMIFS($H$4:$H$503,$G$4:$G$503,G402,$F$4:$F$503,"SOLD",$A$4:$A$503,"&lt;&gt;"&amp;A402),"OVER BUDGET","OK"),"INVALID TEAM"))))</f>
        <v/>
      </c>
      <c r="K402" s="1" t="str">
        <f>IF(F402="SOLD",COUNTIF($F$4:F402,"SOLD"),"")</f>
        <v/>
      </c>
      <c r="L402" s="1" t="str">
        <f>IF(F402="UNSOLD",COUNTIF($F$4:F402,"UNSOLD"),"")</f>
        <v/>
      </c>
      <c r="M402" s="1" t="str">
        <f>IF(AND(F402="SOLD",G402='Team View'!$B$3),COUNTIFS($F$4:F402,"SOLD",$G$4:G402,'Team View'!$B$3),"")</f>
        <v/>
      </c>
    </row>
    <row r="403" spans="1:13">
      <c r="A403" s="1" t="str">
        <f t="shared" si="6"/>
        <v/>
      </c>
      <c r="B403" s="1"/>
      <c r="C403" s="1"/>
      <c r="D403" s="1"/>
      <c r="E403" s="7"/>
      <c r="F403" s="1"/>
      <c r="G403" s="1"/>
      <c r="H403" s="7"/>
      <c r="I403" s="1"/>
      <c r="J403" s="1" t="str">
        <f>IF(B403="","",IF(F403&lt;&gt;"SOLD","",IF(OR(G403="",H403=""),"SELECT TEAM &amp; PRICE",IFERROR(IF(H403&gt;INDEX(Teams!$B$4:$B$13,MATCH(G403,Teams!$A$4:$A$13,0))-SUMIFS($H$4:$H$503,$G$4:$G$503,G403,$F$4:$F$503,"SOLD",$A$4:$A$503,"&lt;&gt;"&amp;A403),"OVER BUDGET","OK"),"INVALID TEAM"))))</f>
        <v/>
      </c>
      <c r="K403" s="1" t="str">
        <f>IF(F403="SOLD",COUNTIF($F$4:F403,"SOLD"),"")</f>
        <v/>
      </c>
      <c r="L403" s="1" t="str">
        <f>IF(F403="UNSOLD",COUNTIF($F$4:F403,"UNSOLD"),"")</f>
        <v/>
      </c>
      <c r="M403" s="1" t="str">
        <f>IF(AND(F403="SOLD",G403='Team View'!$B$3),COUNTIFS($F$4:F403,"SOLD",$G$4:G403,'Team View'!$B$3),"")</f>
        <v/>
      </c>
    </row>
    <row r="404" spans="1:13">
      <c r="A404" s="1" t="str">
        <f t="shared" si="6"/>
        <v/>
      </c>
      <c r="B404" s="1"/>
      <c r="C404" s="1"/>
      <c r="D404" s="1"/>
      <c r="E404" s="7"/>
      <c r="F404" s="1"/>
      <c r="G404" s="1"/>
      <c r="H404" s="7"/>
      <c r="I404" s="1"/>
      <c r="J404" s="1" t="str">
        <f>IF(B404="","",IF(F404&lt;&gt;"SOLD","",IF(OR(G404="",H404=""),"SELECT TEAM &amp; PRICE",IFERROR(IF(H404&gt;INDEX(Teams!$B$4:$B$13,MATCH(G404,Teams!$A$4:$A$13,0))-SUMIFS($H$4:$H$503,$G$4:$G$503,G404,$F$4:$F$503,"SOLD",$A$4:$A$503,"&lt;&gt;"&amp;A404),"OVER BUDGET","OK"),"INVALID TEAM"))))</f>
        <v/>
      </c>
      <c r="K404" s="1" t="str">
        <f>IF(F404="SOLD",COUNTIF($F$4:F404,"SOLD"),"")</f>
        <v/>
      </c>
      <c r="L404" s="1" t="str">
        <f>IF(F404="UNSOLD",COUNTIF($F$4:F404,"UNSOLD"),"")</f>
        <v/>
      </c>
      <c r="M404" s="1" t="str">
        <f>IF(AND(F404="SOLD",G404='Team View'!$B$3),COUNTIFS($F$4:F404,"SOLD",$G$4:G404,'Team View'!$B$3),"")</f>
        <v/>
      </c>
    </row>
    <row r="405" spans="1:13">
      <c r="A405" s="1" t="str">
        <f t="shared" si="6"/>
        <v/>
      </c>
      <c r="B405" s="1"/>
      <c r="C405" s="1"/>
      <c r="D405" s="1"/>
      <c r="E405" s="7"/>
      <c r="F405" s="1"/>
      <c r="G405" s="1"/>
      <c r="H405" s="7"/>
      <c r="I405" s="1"/>
      <c r="J405" s="1" t="str">
        <f>IF(B405="","",IF(F405&lt;&gt;"SOLD","",IF(OR(G405="",H405=""),"SELECT TEAM &amp; PRICE",IFERROR(IF(H405&gt;INDEX(Teams!$B$4:$B$13,MATCH(G405,Teams!$A$4:$A$13,0))-SUMIFS($H$4:$H$503,$G$4:$G$503,G405,$F$4:$F$503,"SOLD",$A$4:$A$503,"&lt;&gt;"&amp;A405),"OVER BUDGET","OK"),"INVALID TEAM"))))</f>
        <v/>
      </c>
      <c r="K405" s="1" t="str">
        <f>IF(F405="SOLD",COUNTIF($F$4:F405,"SOLD"),"")</f>
        <v/>
      </c>
      <c r="L405" s="1" t="str">
        <f>IF(F405="UNSOLD",COUNTIF($F$4:F405,"UNSOLD"),"")</f>
        <v/>
      </c>
      <c r="M405" s="1" t="str">
        <f>IF(AND(F405="SOLD",G405='Team View'!$B$3),COUNTIFS($F$4:F405,"SOLD",$G$4:G405,'Team View'!$B$3),"")</f>
        <v/>
      </c>
    </row>
    <row r="406" spans="1:13">
      <c r="A406" s="1" t="str">
        <f t="shared" si="6"/>
        <v/>
      </c>
      <c r="B406" s="1"/>
      <c r="C406" s="1"/>
      <c r="D406" s="1"/>
      <c r="E406" s="7"/>
      <c r="F406" s="1"/>
      <c r="G406" s="1"/>
      <c r="H406" s="7"/>
      <c r="I406" s="1"/>
      <c r="J406" s="1" t="str">
        <f>IF(B406="","",IF(F406&lt;&gt;"SOLD","",IF(OR(G406="",H406=""),"SELECT TEAM &amp; PRICE",IFERROR(IF(H406&gt;INDEX(Teams!$B$4:$B$13,MATCH(G406,Teams!$A$4:$A$13,0))-SUMIFS($H$4:$H$503,$G$4:$G$503,G406,$F$4:$F$503,"SOLD",$A$4:$A$503,"&lt;&gt;"&amp;A406),"OVER BUDGET","OK"),"INVALID TEAM"))))</f>
        <v/>
      </c>
      <c r="K406" s="1" t="str">
        <f>IF(F406="SOLD",COUNTIF($F$4:F406,"SOLD"),"")</f>
        <v/>
      </c>
      <c r="L406" s="1" t="str">
        <f>IF(F406="UNSOLD",COUNTIF($F$4:F406,"UNSOLD"),"")</f>
        <v/>
      </c>
      <c r="M406" s="1" t="str">
        <f>IF(AND(F406="SOLD",G406='Team View'!$B$3),COUNTIFS($F$4:F406,"SOLD",$G$4:G406,'Team View'!$B$3),"")</f>
        <v/>
      </c>
    </row>
    <row r="407" spans="1:13">
      <c r="A407" s="1" t="str">
        <f t="shared" si="6"/>
        <v/>
      </c>
      <c r="B407" s="1"/>
      <c r="C407" s="1"/>
      <c r="D407" s="1"/>
      <c r="E407" s="7"/>
      <c r="F407" s="1"/>
      <c r="G407" s="1"/>
      <c r="H407" s="7"/>
      <c r="I407" s="1"/>
      <c r="J407" s="1" t="str">
        <f>IF(B407="","",IF(F407&lt;&gt;"SOLD","",IF(OR(G407="",H407=""),"SELECT TEAM &amp; PRICE",IFERROR(IF(H407&gt;INDEX(Teams!$B$4:$B$13,MATCH(G407,Teams!$A$4:$A$13,0))-SUMIFS($H$4:$H$503,$G$4:$G$503,G407,$F$4:$F$503,"SOLD",$A$4:$A$503,"&lt;&gt;"&amp;A407),"OVER BUDGET","OK"),"INVALID TEAM"))))</f>
        <v/>
      </c>
      <c r="K407" s="1" t="str">
        <f>IF(F407="SOLD",COUNTIF($F$4:F407,"SOLD"),"")</f>
        <v/>
      </c>
      <c r="L407" s="1" t="str">
        <f>IF(F407="UNSOLD",COUNTIF($F$4:F407,"UNSOLD"),"")</f>
        <v/>
      </c>
      <c r="M407" s="1" t="str">
        <f>IF(AND(F407="SOLD",G407='Team View'!$B$3),COUNTIFS($F$4:F407,"SOLD",$G$4:G407,'Team View'!$B$3),"")</f>
        <v/>
      </c>
    </row>
    <row r="408" spans="1:13">
      <c r="A408" s="1" t="str">
        <f t="shared" si="6"/>
        <v/>
      </c>
      <c r="B408" s="1"/>
      <c r="C408" s="1"/>
      <c r="D408" s="1"/>
      <c r="E408" s="7"/>
      <c r="F408" s="1"/>
      <c r="G408" s="1"/>
      <c r="H408" s="7"/>
      <c r="I408" s="1"/>
      <c r="J408" s="1" t="str">
        <f>IF(B408="","",IF(F408&lt;&gt;"SOLD","",IF(OR(G408="",H408=""),"SELECT TEAM &amp; PRICE",IFERROR(IF(H408&gt;INDEX(Teams!$B$4:$B$13,MATCH(G408,Teams!$A$4:$A$13,0))-SUMIFS($H$4:$H$503,$G$4:$G$503,G408,$F$4:$F$503,"SOLD",$A$4:$A$503,"&lt;&gt;"&amp;A408),"OVER BUDGET","OK"),"INVALID TEAM"))))</f>
        <v/>
      </c>
      <c r="K408" s="1" t="str">
        <f>IF(F408="SOLD",COUNTIF($F$4:F408,"SOLD"),"")</f>
        <v/>
      </c>
      <c r="L408" s="1" t="str">
        <f>IF(F408="UNSOLD",COUNTIF($F$4:F408,"UNSOLD"),"")</f>
        <v/>
      </c>
      <c r="M408" s="1" t="str">
        <f>IF(AND(F408="SOLD",G408='Team View'!$B$3),COUNTIFS($F$4:F408,"SOLD",$G$4:G408,'Team View'!$B$3),"")</f>
        <v/>
      </c>
    </row>
    <row r="409" spans="1:13">
      <c r="A409" s="1" t="str">
        <f t="shared" si="6"/>
        <v/>
      </c>
      <c r="B409" s="1"/>
      <c r="C409" s="1"/>
      <c r="D409" s="1"/>
      <c r="E409" s="7"/>
      <c r="F409" s="1"/>
      <c r="G409" s="1"/>
      <c r="H409" s="7"/>
      <c r="I409" s="1"/>
      <c r="J409" s="1" t="str">
        <f>IF(B409="","",IF(F409&lt;&gt;"SOLD","",IF(OR(G409="",H409=""),"SELECT TEAM &amp; PRICE",IFERROR(IF(H409&gt;INDEX(Teams!$B$4:$B$13,MATCH(G409,Teams!$A$4:$A$13,0))-SUMIFS($H$4:$H$503,$G$4:$G$503,G409,$F$4:$F$503,"SOLD",$A$4:$A$503,"&lt;&gt;"&amp;A409),"OVER BUDGET","OK"),"INVALID TEAM"))))</f>
        <v/>
      </c>
      <c r="K409" s="1" t="str">
        <f>IF(F409="SOLD",COUNTIF($F$4:F409,"SOLD"),"")</f>
        <v/>
      </c>
      <c r="L409" s="1" t="str">
        <f>IF(F409="UNSOLD",COUNTIF($F$4:F409,"UNSOLD"),"")</f>
        <v/>
      </c>
      <c r="M409" s="1" t="str">
        <f>IF(AND(F409="SOLD",G409='Team View'!$B$3),COUNTIFS($F$4:F409,"SOLD",$G$4:G409,'Team View'!$B$3),"")</f>
        <v/>
      </c>
    </row>
    <row r="410" spans="1:13">
      <c r="A410" s="1" t="str">
        <f t="shared" si="6"/>
        <v/>
      </c>
      <c r="B410" s="1"/>
      <c r="C410" s="1"/>
      <c r="D410" s="1"/>
      <c r="E410" s="7"/>
      <c r="F410" s="1"/>
      <c r="G410" s="1"/>
      <c r="H410" s="7"/>
      <c r="I410" s="1"/>
      <c r="J410" s="1" t="str">
        <f>IF(B410="","",IF(F410&lt;&gt;"SOLD","",IF(OR(G410="",H410=""),"SELECT TEAM &amp; PRICE",IFERROR(IF(H410&gt;INDEX(Teams!$B$4:$B$13,MATCH(G410,Teams!$A$4:$A$13,0))-SUMIFS($H$4:$H$503,$G$4:$G$503,G410,$F$4:$F$503,"SOLD",$A$4:$A$503,"&lt;&gt;"&amp;A410),"OVER BUDGET","OK"),"INVALID TEAM"))))</f>
        <v/>
      </c>
      <c r="K410" s="1" t="str">
        <f>IF(F410="SOLD",COUNTIF($F$4:F410,"SOLD"),"")</f>
        <v/>
      </c>
      <c r="L410" s="1" t="str">
        <f>IF(F410="UNSOLD",COUNTIF($F$4:F410,"UNSOLD"),"")</f>
        <v/>
      </c>
      <c r="M410" s="1" t="str">
        <f>IF(AND(F410="SOLD",G410='Team View'!$B$3),COUNTIFS($F$4:F410,"SOLD",$G$4:G410,'Team View'!$B$3),"")</f>
        <v/>
      </c>
    </row>
    <row r="411" spans="1:13">
      <c r="A411" s="1" t="str">
        <f t="shared" si="6"/>
        <v/>
      </c>
      <c r="B411" s="1"/>
      <c r="C411" s="1"/>
      <c r="D411" s="1"/>
      <c r="E411" s="7"/>
      <c r="F411" s="1"/>
      <c r="G411" s="1"/>
      <c r="H411" s="7"/>
      <c r="I411" s="1"/>
      <c r="J411" s="1" t="str">
        <f>IF(B411="","",IF(F411&lt;&gt;"SOLD","",IF(OR(G411="",H411=""),"SELECT TEAM &amp; PRICE",IFERROR(IF(H411&gt;INDEX(Teams!$B$4:$B$13,MATCH(G411,Teams!$A$4:$A$13,0))-SUMIFS($H$4:$H$503,$G$4:$G$503,G411,$F$4:$F$503,"SOLD",$A$4:$A$503,"&lt;&gt;"&amp;A411),"OVER BUDGET","OK"),"INVALID TEAM"))))</f>
        <v/>
      </c>
      <c r="K411" s="1" t="str">
        <f>IF(F411="SOLD",COUNTIF($F$4:F411,"SOLD"),"")</f>
        <v/>
      </c>
      <c r="L411" s="1" t="str">
        <f>IF(F411="UNSOLD",COUNTIF($F$4:F411,"UNSOLD"),"")</f>
        <v/>
      </c>
      <c r="M411" s="1" t="str">
        <f>IF(AND(F411="SOLD",G411='Team View'!$B$3),COUNTIFS($F$4:F411,"SOLD",$G$4:G411,'Team View'!$B$3),"")</f>
        <v/>
      </c>
    </row>
    <row r="412" spans="1:13">
      <c r="A412" s="1" t="str">
        <f t="shared" si="6"/>
        <v/>
      </c>
      <c r="B412" s="1"/>
      <c r="C412" s="1"/>
      <c r="D412" s="1"/>
      <c r="E412" s="7"/>
      <c r="F412" s="1"/>
      <c r="G412" s="1"/>
      <c r="H412" s="7"/>
      <c r="I412" s="1"/>
      <c r="J412" s="1" t="str">
        <f>IF(B412="","",IF(F412&lt;&gt;"SOLD","",IF(OR(G412="",H412=""),"SELECT TEAM &amp; PRICE",IFERROR(IF(H412&gt;INDEX(Teams!$B$4:$B$13,MATCH(G412,Teams!$A$4:$A$13,0))-SUMIFS($H$4:$H$503,$G$4:$G$503,G412,$F$4:$F$503,"SOLD",$A$4:$A$503,"&lt;&gt;"&amp;A412),"OVER BUDGET","OK"),"INVALID TEAM"))))</f>
        <v/>
      </c>
      <c r="K412" s="1" t="str">
        <f>IF(F412="SOLD",COUNTIF($F$4:F412,"SOLD"),"")</f>
        <v/>
      </c>
      <c r="L412" s="1" t="str">
        <f>IF(F412="UNSOLD",COUNTIF($F$4:F412,"UNSOLD"),"")</f>
        <v/>
      </c>
      <c r="M412" s="1" t="str">
        <f>IF(AND(F412="SOLD",G412='Team View'!$B$3),COUNTIFS($F$4:F412,"SOLD",$G$4:G412,'Team View'!$B$3),"")</f>
        <v/>
      </c>
    </row>
    <row r="413" spans="1:13">
      <c r="A413" s="1" t="str">
        <f t="shared" si="6"/>
        <v/>
      </c>
      <c r="B413" s="1"/>
      <c r="C413" s="1"/>
      <c r="D413" s="1"/>
      <c r="E413" s="7"/>
      <c r="F413" s="1"/>
      <c r="G413" s="1"/>
      <c r="H413" s="7"/>
      <c r="I413" s="1"/>
      <c r="J413" s="1" t="str">
        <f>IF(B413="","",IF(F413&lt;&gt;"SOLD","",IF(OR(G413="",H413=""),"SELECT TEAM &amp; PRICE",IFERROR(IF(H413&gt;INDEX(Teams!$B$4:$B$13,MATCH(G413,Teams!$A$4:$A$13,0))-SUMIFS($H$4:$H$503,$G$4:$G$503,G413,$F$4:$F$503,"SOLD",$A$4:$A$503,"&lt;&gt;"&amp;A413),"OVER BUDGET","OK"),"INVALID TEAM"))))</f>
        <v/>
      </c>
      <c r="K413" s="1" t="str">
        <f>IF(F413="SOLD",COUNTIF($F$4:F413,"SOLD"),"")</f>
        <v/>
      </c>
      <c r="L413" s="1" t="str">
        <f>IF(F413="UNSOLD",COUNTIF($F$4:F413,"UNSOLD"),"")</f>
        <v/>
      </c>
      <c r="M413" s="1" t="str">
        <f>IF(AND(F413="SOLD",G413='Team View'!$B$3),COUNTIFS($F$4:F413,"SOLD",$G$4:G413,'Team View'!$B$3),"")</f>
        <v/>
      </c>
    </row>
    <row r="414" spans="1:13">
      <c r="A414" s="1" t="str">
        <f t="shared" si="6"/>
        <v/>
      </c>
      <c r="B414" s="1"/>
      <c r="C414" s="1"/>
      <c r="D414" s="1"/>
      <c r="E414" s="7"/>
      <c r="F414" s="1"/>
      <c r="G414" s="1"/>
      <c r="H414" s="7"/>
      <c r="I414" s="1"/>
      <c r="J414" s="1" t="str">
        <f>IF(B414="","",IF(F414&lt;&gt;"SOLD","",IF(OR(G414="",H414=""),"SELECT TEAM &amp; PRICE",IFERROR(IF(H414&gt;INDEX(Teams!$B$4:$B$13,MATCH(G414,Teams!$A$4:$A$13,0))-SUMIFS($H$4:$H$503,$G$4:$G$503,G414,$F$4:$F$503,"SOLD",$A$4:$A$503,"&lt;&gt;"&amp;A414),"OVER BUDGET","OK"),"INVALID TEAM"))))</f>
        <v/>
      </c>
      <c r="K414" s="1" t="str">
        <f>IF(F414="SOLD",COUNTIF($F$4:F414,"SOLD"),"")</f>
        <v/>
      </c>
      <c r="L414" s="1" t="str">
        <f>IF(F414="UNSOLD",COUNTIF($F$4:F414,"UNSOLD"),"")</f>
        <v/>
      </c>
      <c r="M414" s="1" t="str">
        <f>IF(AND(F414="SOLD",G414='Team View'!$B$3),COUNTIFS($F$4:F414,"SOLD",$G$4:G414,'Team View'!$B$3),"")</f>
        <v/>
      </c>
    </row>
    <row r="415" spans="1:13">
      <c r="A415" s="1" t="str">
        <f t="shared" si="6"/>
        <v/>
      </c>
      <c r="B415" s="1"/>
      <c r="C415" s="1"/>
      <c r="D415" s="1"/>
      <c r="E415" s="7"/>
      <c r="F415" s="1"/>
      <c r="G415" s="1"/>
      <c r="H415" s="7"/>
      <c r="I415" s="1"/>
      <c r="J415" s="1" t="str">
        <f>IF(B415="","",IF(F415&lt;&gt;"SOLD","",IF(OR(G415="",H415=""),"SELECT TEAM &amp; PRICE",IFERROR(IF(H415&gt;INDEX(Teams!$B$4:$B$13,MATCH(G415,Teams!$A$4:$A$13,0))-SUMIFS($H$4:$H$503,$G$4:$G$503,G415,$F$4:$F$503,"SOLD",$A$4:$A$503,"&lt;&gt;"&amp;A415),"OVER BUDGET","OK"),"INVALID TEAM"))))</f>
        <v/>
      </c>
      <c r="K415" s="1" t="str">
        <f>IF(F415="SOLD",COUNTIF($F$4:F415,"SOLD"),"")</f>
        <v/>
      </c>
      <c r="L415" s="1" t="str">
        <f>IF(F415="UNSOLD",COUNTIF($F$4:F415,"UNSOLD"),"")</f>
        <v/>
      </c>
      <c r="M415" s="1" t="str">
        <f>IF(AND(F415="SOLD",G415='Team View'!$B$3),COUNTIFS($F$4:F415,"SOLD",$G$4:G415,'Team View'!$B$3),"")</f>
        <v/>
      </c>
    </row>
    <row r="416" spans="1:13">
      <c r="A416" s="1" t="str">
        <f t="shared" si="6"/>
        <v/>
      </c>
      <c r="B416" s="1"/>
      <c r="C416" s="1"/>
      <c r="D416" s="1"/>
      <c r="E416" s="7"/>
      <c r="F416" s="1"/>
      <c r="G416" s="1"/>
      <c r="H416" s="7"/>
      <c r="I416" s="1"/>
      <c r="J416" s="1" t="str">
        <f>IF(B416="","",IF(F416&lt;&gt;"SOLD","",IF(OR(G416="",H416=""),"SELECT TEAM &amp; PRICE",IFERROR(IF(H416&gt;INDEX(Teams!$B$4:$B$13,MATCH(G416,Teams!$A$4:$A$13,0))-SUMIFS($H$4:$H$503,$G$4:$G$503,G416,$F$4:$F$503,"SOLD",$A$4:$A$503,"&lt;&gt;"&amp;A416),"OVER BUDGET","OK"),"INVALID TEAM"))))</f>
        <v/>
      </c>
      <c r="K416" s="1" t="str">
        <f>IF(F416="SOLD",COUNTIF($F$4:F416,"SOLD"),"")</f>
        <v/>
      </c>
      <c r="L416" s="1" t="str">
        <f>IF(F416="UNSOLD",COUNTIF($F$4:F416,"UNSOLD"),"")</f>
        <v/>
      </c>
      <c r="M416" s="1" t="str">
        <f>IF(AND(F416="SOLD",G416='Team View'!$B$3),COUNTIFS($F$4:F416,"SOLD",$G$4:G416,'Team View'!$B$3),"")</f>
        <v/>
      </c>
    </row>
    <row r="417" spans="1:13">
      <c r="A417" s="1" t="str">
        <f t="shared" si="6"/>
        <v/>
      </c>
      <c r="B417" s="1"/>
      <c r="C417" s="1"/>
      <c r="D417" s="1"/>
      <c r="E417" s="7"/>
      <c r="F417" s="1"/>
      <c r="G417" s="1"/>
      <c r="H417" s="7"/>
      <c r="I417" s="1"/>
      <c r="J417" s="1" t="str">
        <f>IF(B417="","",IF(F417&lt;&gt;"SOLD","",IF(OR(G417="",H417=""),"SELECT TEAM &amp; PRICE",IFERROR(IF(H417&gt;INDEX(Teams!$B$4:$B$13,MATCH(G417,Teams!$A$4:$A$13,0))-SUMIFS($H$4:$H$503,$G$4:$G$503,G417,$F$4:$F$503,"SOLD",$A$4:$A$503,"&lt;&gt;"&amp;A417),"OVER BUDGET","OK"),"INVALID TEAM"))))</f>
        <v/>
      </c>
      <c r="K417" s="1" t="str">
        <f>IF(F417="SOLD",COUNTIF($F$4:F417,"SOLD"),"")</f>
        <v/>
      </c>
      <c r="L417" s="1" t="str">
        <f>IF(F417="UNSOLD",COUNTIF($F$4:F417,"UNSOLD"),"")</f>
        <v/>
      </c>
      <c r="M417" s="1" t="str">
        <f>IF(AND(F417="SOLD",G417='Team View'!$B$3),COUNTIFS($F$4:F417,"SOLD",$G$4:G417,'Team View'!$B$3),"")</f>
        <v/>
      </c>
    </row>
    <row r="418" spans="1:13">
      <c r="A418" s="1" t="str">
        <f t="shared" si="6"/>
        <v/>
      </c>
      <c r="B418" s="1"/>
      <c r="C418" s="1"/>
      <c r="D418" s="1"/>
      <c r="E418" s="7"/>
      <c r="F418" s="1"/>
      <c r="G418" s="1"/>
      <c r="H418" s="7"/>
      <c r="I418" s="1"/>
      <c r="J418" s="1" t="str">
        <f>IF(B418="","",IF(F418&lt;&gt;"SOLD","",IF(OR(G418="",H418=""),"SELECT TEAM &amp; PRICE",IFERROR(IF(H418&gt;INDEX(Teams!$B$4:$B$13,MATCH(G418,Teams!$A$4:$A$13,0))-SUMIFS($H$4:$H$503,$G$4:$G$503,G418,$F$4:$F$503,"SOLD",$A$4:$A$503,"&lt;&gt;"&amp;A418),"OVER BUDGET","OK"),"INVALID TEAM"))))</f>
        <v/>
      </c>
      <c r="K418" s="1" t="str">
        <f>IF(F418="SOLD",COUNTIF($F$4:F418,"SOLD"),"")</f>
        <v/>
      </c>
      <c r="L418" s="1" t="str">
        <f>IF(F418="UNSOLD",COUNTIF($F$4:F418,"UNSOLD"),"")</f>
        <v/>
      </c>
      <c r="M418" s="1" t="str">
        <f>IF(AND(F418="SOLD",G418='Team View'!$B$3),COUNTIFS($F$4:F418,"SOLD",$G$4:G418,'Team View'!$B$3),"")</f>
        <v/>
      </c>
    </row>
    <row r="419" spans="1:13">
      <c r="A419" s="1" t="str">
        <f t="shared" si="6"/>
        <v/>
      </c>
      <c r="B419" s="1"/>
      <c r="C419" s="1"/>
      <c r="D419" s="1"/>
      <c r="E419" s="7"/>
      <c r="F419" s="1"/>
      <c r="G419" s="1"/>
      <c r="H419" s="7"/>
      <c r="I419" s="1"/>
      <c r="J419" s="1" t="str">
        <f>IF(B419="","",IF(F419&lt;&gt;"SOLD","",IF(OR(G419="",H419=""),"SELECT TEAM &amp; PRICE",IFERROR(IF(H419&gt;INDEX(Teams!$B$4:$B$13,MATCH(G419,Teams!$A$4:$A$13,0))-SUMIFS($H$4:$H$503,$G$4:$G$503,G419,$F$4:$F$503,"SOLD",$A$4:$A$503,"&lt;&gt;"&amp;A419),"OVER BUDGET","OK"),"INVALID TEAM"))))</f>
        <v/>
      </c>
      <c r="K419" s="1" t="str">
        <f>IF(F419="SOLD",COUNTIF($F$4:F419,"SOLD"),"")</f>
        <v/>
      </c>
      <c r="L419" s="1" t="str">
        <f>IF(F419="UNSOLD",COUNTIF($F$4:F419,"UNSOLD"),"")</f>
        <v/>
      </c>
      <c r="M419" s="1" t="str">
        <f>IF(AND(F419="SOLD",G419='Team View'!$B$3),COUNTIFS($F$4:F419,"SOLD",$G$4:G419,'Team View'!$B$3),"")</f>
        <v/>
      </c>
    </row>
    <row r="420" spans="1:13">
      <c r="A420" s="1" t="str">
        <f t="shared" si="6"/>
        <v/>
      </c>
      <c r="B420" s="1"/>
      <c r="C420" s="1"/>
      <c r="D420" s="1"/>
      <c r="E420" s="7"/>
      <c r="F420" s="1"/>
      <c r="G420" s="1"/>
      <c r="H420" s="7"/>
      <c r="I420" s="1"/>
      <c r="J420" s="1" t="str">
        <f>IF(B420="","",IF(F420&lt;&gt;"SOLD","",IF(OR(G420="",H420=""),"SELECT TEAM &amp; PRICE",IFERROR(IF(H420&gt;INDEX(Teams!$B$4:$B$13,MATCH(G420,Teams!$A$4:$A$13,0))-SUMIFS($H$4:$H$503,$G$4:$G$503,G420,$F$4:$F$503,"SOLD",$A$4:$A$503,"&lt;&gt;"&amp;A420),"OVER BUDGET","OK"),"INVALID TEAM"))))</f>
        <v/>
      </c>
      <c r="K420" s="1" t="str">
        <f>IF(F420="SOLD",COUNTIF($F$4:F420,"SOLD"),"")</f>
        <v/>
      </c>
      <c r="L420" s="1" t="str">
        <f>IF(F420="UNSOLD",COUNTIF($F$4:F420,"UNSOLD"),"")</f>
        <v/>
      </c>
      <c r="M420" s="1" t="str">
        <f>IF(AND(F420="SOLD",G420='Team View'!$B$3),COUNTIFS($F$4:F420,"SOLD",$G$4:G420,'Team View'!$B$3),"")</f>
        <v/>
      </c>
    </row>
    <row r="421" spans="1:13">
      <c r="A421" s="1" t="str">
        <f t="shared" si="6"/>
        <v/>
      </c>
      <c r="B421" s="1"/>
      <c r="C421" s="1"/>
      <c r="D421" s="1"/>
      <c r="E421" s="7"/>
      <c r="F421" s="1"/>
      <c r="G421" s="1"/>
      <c r="H421" s="7"/>
      <c r="I421" s="1"/>
      <c r="J421" s="1" t="str">
        <f>IF(B421="","",IF(F421&lt;&gt;"SOLD","",IF(OR(G421="",H421=""),"SELECT TEAM &amp; PRICE",IFERROR(IF(H421&gt;INDEX(Teams!$B$4:$B$13,MATCH(G421,Teams!$A$4:$A$13,0))-SUMIFS($H$4:$H$503,$G$4:$G$503,G421,$F$4:$F$503,"SOLD",$A$4:$A$503,"&lt;&gt;"&amp;A421),"OVER BUDGET","OK"),"INVALID TEAM"))))</f>
        <v/>
      </c>
      <c r="K421" s="1" t="str">
        <f>IF(F421="SOLD",COUNTIF($F$4:F421,"SOLD"),"")</f>
        <v/>
      </c>
      <c r="L421" s="1" t="str">
        <f>IF(F421="UNSOLD",COUNTIF($F$4:F421,"UNSOLD"),"")</f>
        <v/>
      </c>
      <c r="M421" s="1" t="str">
        <f>IF(AND(F421="SOLD",G421='Team View'!$B$3),COUNTIFS($F$4:F421,"SOLD",$G$4:G421,'Team View'!$B$3),"")</f>
        <v/>
      </c>
    </row>
    <row r="422" spans="1:13">
      <c r="A422" s="1" t="str">
        <f t="shared" si="6"/>
        <v/>
      </c>
      <c r="B422" s="1"/>
      <c r="C422" s="1"/>
      <c r="D422" s="1"/>
      <c r="E422" s="7"/>
      <c r="F422" s="1"/>
      <c r="G422" s="1"/>
      <c r="H422" s="7"/>
      <c r="I422" s="1"/>
      <c r="J422" s="1" t="str">
        <f>IF(B422="","",IF(F422&lt;&gt;"SOLD","",IF(OR(G422="",H422=""),"SELECT TEAM &amp; PRICE",IFERROR(IF(H422&gt;INDEX(Teams!$B$4:$B$13,MATCH(G422,Teams!$A$4:$A$13,0))-SUMIFS($H$4:$H$503,$G$4:$G$503,G422,$F$4:$F$503,"SOLD",$A$4:$A$503,"&lt;&gt;"&amp;A422),"OVER BUDGET","OK"),"INVALID TEAM"))))</f>
        <v/>
      </c>
      <c r="K422" s="1" t="str">
        <f>IF(F422="SOLD",COUNTIF($F$4:F422,"SOLD"),"")</f>
        <v/>
      </c>
      <c r="L422" s="1" t="str">
        <f>IF(F422="UNSOLD",COUNTIF($F$4:F422,"UNSOLD"),"")</f>
        <v/>
      </c>
      <c r="M422" s="1" t="str">
        <f>IF(AND(F422="SOLD",G422='Team View'!$B$3),COUNTIFS($F$4:F422,"SOLD",$G$4:G422,'Team View'!$B$3),"")</f>
        <v/>
      </c>
    </row>
    <row r="423" spans="1:13">
      <c r="A423" s="1" t="str">
        <f t="shared" si="6"/>
        <v/>
      </c>
      <c r="B423" s="1"/>
      <c r="C423" s="1"/>
      <c r="D423" s="1"/>
      <c r="E423" s="7"/>
      <c r="F423" s="1"/>
      <c r="G423" s="1"/>
      <c r="H423" s="7"/>
      <c r="I423" s="1"/>
      <c r="J423" s="1" t="str">
        <f>IF(B423="","",IF(F423&lt;&gt;"SOLD","",IF(OR(G423="",H423=""),"SELECT TEAM &amp; PRICE",IFERROR(IF(H423&gt;INDEX(Teams!$B$4:$B$13,MATCH(G423,Teams!$A$4:$A$13,0))-SUMIFS($H$4:$H$503,$G$4:$G$503,G423,$F$4:$F$503,"SOLD",$A$4:$A$503,"&lt;&gt;"&amp;A423),"OVER BUDGET","OK"),"INVALID TEAM"))))</f>
        <v/>
      </c>
      <c r="K423" s="1" t="str">
        <f>IF(F423="SOLD",COUNTIF($F$4:F423,"SOLD"),"")</f>
        <v/>
      </c>
      <c r="L423" s="1" t="str">
        <f>IF(F423="UNSOLD",COUNTIF($F$4:F423,"UNSOLD"),"")</f>
        <v/>
      </c>
      <c r="M423" s="1" t="str">
        <f>IF(AND(F423="SOLD",G423='Team View'!$B$3),COUNTIFS($F$4:F423,"SOLD",$G$4:G423,'Team View'!$B$3),"")</f>
        <v/>
      </c>
    </row>
    <row r="424" spans="1:13">
      <c r="A424" s="1" t="str">
        <f t="shared" si="6"/>
        <v/>
      </c>
      <c r="B424" s="1"/>
      <c r="C424" s="1"/>
      <c r="D424" s="1"/>
      <c r="E424" s="7"/>
      <c r="F424" s="1"/>
      <c r="G424" s="1"/>
      <c r="H424" s="7"/>
      <c r="I424" s="1"/>
      <c r="J424" s="1" t="str">
        <f>IF(B424="","",IF(F424&lt;&gt;"SOLD","",IF(OR(G424="",H424=""),"SELECT TEAM &amp; PRICE",IFERROR(IF(H424&gt;INDEX(Teams!$B$4:$B$13,MATCH(G424,Teams!$A$4:$A$13,0))-SUMIFS($H$4:$H$503,$G$4:$G$503,G424,$F$4:$F$503,"SOLD",$A$4:$A$503,"&lt;&gt;"&amp;A424),"OVER BUDGET","OK"),"INVALID TEAM"))))</f>
        <v/>
      </c>
      <c r="K424" s="1" t="str">
        <f>IF(F424="SOLD",COUNTIF($F$4:F424,"SOLD"),"")</f>
        <v/>
      </c>
      <c r="L424" s="1" t="str">
        <f>IF(F424="UNSOLD",COUNTIF($F$4:F424,"UNSOLD"),"")</f>
        <v/>
      </c>
      <c r="M424" s="1" t="str">
        <f>IF(AND(F424="SOLD",G424='Team View'!$B$3),COUNTIFS($F$4:F424,"SOLD",$G$4:G424,'Team View'!$B$3),"")</f>
        <v/>
      </c>
    </row>
    <row r="425" spans="1:13">
      <c r="A425" s="1" t="str">
        <f t="shared" si="6"/>
        <v/>
      </c>
      <c r="B425" s="1"/>
      <c r="C425" s="1"/>
      <c r="D425" s="1"/>
      <c r="E425" s="7"/>
      <c r="F425" s="1"/>
      <c r="G425" s="1"/>
      <c r="H425" s="7"/>
      <c r="I425" s="1"/>
      <c r="J425" s="1" t="str">
        <f>IF(B425="","",IF(F425&lt;&gt;"SOLD","",IF(OR(G425="",H425=""),"SELECT TEAM &amp; PRICE",IFERROR(IF(H425&gt;INDEX(Teams!$B$4:$B$13,MATCH(G425,Teams!$A$4:$A$13,0))-SUMIFS($H$4:$H$503,$G$4:$G$503,G425,$F$4:$F$503,"SOLD",$A$4:$A$503,"&lt;&gt;"&amp;A425),"OVER BUDGET","OK"),"INVALID TEAM"))))</f>
        <v/>
      </c>
      <c r="K425" s="1" t="str">
        <f>IF(F425="SOLD",COUNTIF($F$4:F425,"SOLD"),"")</f>
        <v/>
      </c>
      <c r="L425" s="1" t="str">
        <f>IF(F425="UNSOLD",COUNTIF($F$4:F425,"UNSOLD"),"")</f>
        <v/>
      </c>
      <c r="M425" s="1" t="str">
        <f>IF(AND(F425="SOLD",G425='Team View'!$B$3),COUNTIFS($F$4:F425,"SOLD",$G$4:G425,'Team View'!$B$3),"")</f>
        <v/>
      </c>
    </row>
    <row r="426" spans="1:13">
      <c r="A426" s="1" t="str">
        <f t="shared" si="6"/>
        <v/>
      </c>
      <c r="B426" s="1"/>
      <c r="C426" s="1"/>
      <c r="D426" s="1"/>
      <c r="E426" s="7"/>
      <c r="F426" s="1"/>
      <c r="G426" s="1"/>
      <c r="H426" s="7"/>
      <c r="I426" s="1"/>
      <c r="J426" s="1" t="str">
        <f>IF(B426="","",IF(F426&lt;&gt;"SOLD","",IF(OR(G426="",H426=""),"SELECT TEAM &amp; PRICE",IFERROR(IF(H426&gt;INDEX(Teams!$B$4:$B$13,MATCH(G426,Teams!$A$4:$A$13,0))-SUMIFS($H$4:$H$503,$G$4:$G$503,G426,$F$4:$F$503,"SOLD",$A$4:$A$503,"&lt;&gt;"&amp;A426),"OVER BUDGET","OK"),"INVALID TEAM"))))</f>
        <v/>
      </c>
      <c r="K426" s="1" t="str">
        <f>IF(F426="SOLD",COUNTIF($F$4:F426,"SOLD"),"")</f>
        <v/>
      </c>
      <c r="L426" s="1" t="str">
        <f>IF(F426="UNSOLD",COUNTIF($F$4:F426,"UNSOLD"),"")</f>
        <v/>
      </c>
      <c r="M426" s="1" t="str">
        <f>IF(AND(F426="SOLD",G426='Team View'!$B$3),COUNTIFS($F$4:F426,"SOLD",$G$4:G426,'Team View'!$B$3),"")</f>
        <v/>
      </c>
    </row>
    <row r="427" spans="1:13">
      <c r="A427" s="1" t="str">
        <f t="shared" si="6"/>
        <v/>
      </c>
      <c r="B427" s="1"/>
      <c r="C427" s="1"/>
      <c r="D427" s="1"/>
      <c r="E427" s="7"/>
      <c r="F427" s="1"/>
      <c r="G427" s="1"/>
      <c r="H427" s="7"/>
      <c r="I427" s="1"/>
      <c r="J427" s="1" t="str">
        <f>IF(B427="","",IF(F427&lt;&gt;"SOLD","",IF(OR(G427="",H427=""),"SELECT TEAM &amp; PRICE",IFERROR(IF(H427&gt;INDEX(Teams!$B$4:$B$13,MATCH(G427,Teams!$A$4:$A$13,0))-SUMIFS($H$4:$H$503,$G$4:$G$503,G427,$F$4:$F$503,"SOLD",$A$4:$A$503,"&lt;&gt;"&amp;A427),"OVER BUDGET","OK"),"INVALID TEAM"))))</f>
        <v/>
      </c>
      <c r="K427" s="1" t="str">
        <f>IF(F427="SOLD",COUNTIF($F$4:F427,"SOLD"),"")</f>
        <v/>
      </c>
      <c r="L427" s="1" t="str">
        <f>IF(F427="UNSOLD",COUNTIF($F$4:F427,"UNSOLD"),"")</f>
        <v/>
      </c>
      <c r="M427" s="1" t="str">
        <f>IF(AND(F427="SOLD",G427='Team View'!$B$3),COUNTIFS($F$4:F427,"SOLD",$G$4:G427,'Team View'!$B$3),"")</f>
        <v/>
      </c>
    </row>
    <row r="428" spans="1:13">
      <c r="A428" s="1" t="str">
        <f t="shared" si="6"/>
        <v/>
      </c>
      <c r="B428" s="1"/>
      <c r="C428" s="1"/>
      <c r="D428" s="1"/>
      <c r="E428" s="7"/>
      <c r="F428" s="1"/>
      <c r="G428" s="1"/>
      <c r="H428" s="7"/>
      <c r="I428" s="1"/>
      <c r="J428" s="1" t="str">
        <f>IF(B428="","",IF(F428&lt;&gt;"SOLD","",IF(OR(G428="",H428=""),"SELECT TEAM &amp; PRICE",IFERROR(IF(H428&gt;INDEX(Teams!$B$4:$B$13,MATCH(G428,Teams!$A$4:$A$13,0))-SUMIFS($H$4:$H$503,$G$4:$G$503,G428,$F$4:$F$503,"SOLD",$A$4:$A$503,"&lt;&gt;"&amp;A428),"OVER BUDGET","OK"),"INVALID TEAM"))))</f>
        <v/>
      </c>
      <c r="K428" s="1" t="str">
        <f>IF(F428="SOLD",COUNTIF($F$4:F428,"SOLD"),"")</f>
        <v/>
      </c>
      <c r="L428" s="1" t="str">
        <f>IF(F428="UNSOLD",COUNTIF($F$4:F428,"UNSOLD"),"")</f>
        <v/>
      </c>
      <c r="M428" s="1" t="str">
        <f>IF(AND(F428="SOLD",G428='Team View'!$B$3),COUNTIFS($F$4:F428,"SOLD",$G$4:G428,'Team View'!$B$3),"")</f>
        <v/>
      </c>
    </row>
    <row r="429" spans="1:13">
      <c r="A429" s="1" t="str">
        <f t="shared" si="6"/>
        <v/>
      </c>
      <c r="B429" s="1"/>
      <c r="C429" s="1"/>
      <c r="D429" s="1"/>
      <c r="E429" s="7"/>
      <c r="F429" s="1"/>
      <c r="G429" s="1"/>
      <c r="H429" s="7"/>
      <c r="I429" s="1"/>
      <c r="J429" s="1" t="str">
        <f>IF(B429="","",IF(F429&lt;&gt;"SOLD","",IF(OR(G429="",H429=""),"SELECT TEAM &amp; PRICE",IFERROR(IF(H429&gt;INDEX(Teams!$B$4:$B$13,MATCH(G429,Teams!$A$4:$A$13,0))-SUMIFS($H$4:$H$503,$G$4:$G$503,G429,$F$4:$F$503,"SOLD",$A$4:$A$503,"&lt;&gt;"&amp;A429),"OVER BUDGET","OK"),"INVALID TEAM"))))</f>
        <v/>
      </c>
      <c r="K429" s="1" t="str">
        <f>IF(F429="SOLD",COUNTIF($F$4:F429,"SOLD"),"")</f>
        <v/>
      </c>
      <c r="L429" s="1" t="str">
        <f>IF(F429="UNSOLD",COUNTIF($F$4:F429,"UNSOLD"),"")</f>
        <v/>
      </c>
      <c r="M429" s="1" t="str">
        <f>IF(AND(F429="SOLD",G429='Team View'!$B$3),COUNTIFS($F$4:F429,"SOLD",$G$4:G429,'Team View'!$B$3),"")</f>
        <v/>
      </c>
    </row>
    <row r="430" spans="1:13">
      <c r="A430" s="1" t="str">
        <f t="shared" si="6"/>
        <v/>
      </c>
      <c r="B430" s="1"/>
      <c r="C430" s="1"/>
      <c r="D430" s="1"/>
      <c r="E430" s="7"/>
      <c r="F430" s="1"/>
      <c r="G430" s="1"/>
      <c r="H430" s="7"/>
      <c r="I430" s="1"/>
      <c r="J430" s="1" t="str">
        <f>IF(B430="","",IF(F430&lt;&gt;"SOLD","",IF(OR(G430="",H430=""),"SELECT TEAM &amp; PRICE",IFERROR(IF(H430&gt;INDEX(Teams!$B$4:$B$13,MATCH(G430,Teams!$A$4:$A$13,0))-SUMIFS($H$4:$H$503,$G$4:$G$503,G430,$F$4:$F$503,"SOLD",$A$4:$A$503,"&lt;&gt;"&amp;A430),"OVER BUDGET","OK"),"INVALID TEAM"))))</f>
        <v/>
      </c>
      <c r="K430" s="1" t="str">
        <f>IF(F430="SOLD",COUNTIF($F$4:F430,"SOLD"),"")</f>
        <v/>
      </c>
      <c r="L430" s="1" t="str">
        <f>IF(F430="UNSOLD",COUNTIF($F$4:F430,"UNSOLD"),"")</f>
        <v/>
      </c>
      <c r="M430" s="1" t="str">
        <f>IF(AND(F430="SOLD",G430='Team View'!$B$3),COUNTIFS($F$4:F430,"SOLD",$G$4:G430,'Team View'!$B$3),"")</f>
        <v/>
      </c>
    </row>
    <row r="431" spans="1:13">
      <c r="A431" s="1" t="str">
        <f t="shared" si="6"/>
        <v/>
      </c>
      <c r="B431" s="1"/>
      <c r="C431" s="1"/>
      <c r="D431" s="1"/>
      <c r="E431" s="7"/>
      <c r="F431" s="1"/>
      <c r="G431" s="1"/>
      <c r="H431" s="7"/>
      <c r="I431" s="1"/>
      <c r="J431" s="1" t="str">
        <f>IF(B431="","",IF(F431&lt;&gt;"SOLD","",IF(OR(G431="",H431=""),"SELECT TEAM &amp; PRICE",IFERROR(IF(H431&gt;INDEX(Teams!$B$4:$B$13,MATCH(G431,Teams!$A$4:$A$13,0))-SUMIFS($H$4:$H$503,$G$4:$G$503,G431,$F$4:$F$503,"SOLD",$A$4:$A$503,"&lt;&gt;"&amp;A431),"OVER BUDGET","OK"),"INVALID TEAM"))))</f>
        <v/>
      </c>
      <c r="K431" s="1" t="str">
        <f>IF(F431="SOLD",COUNTIF($F$4:F431,"SOLD"),"")</f>
        <v/>
      </c>
      <c r="L431" s="1" t="str">
        <f>IF(F431="UNSOLD",COUNTIF($F$4:F431,"UNSOLD"),"")</f>
        <v/>
      </c>
      <c r="M431" s="1" t="str">
        <f>IF(AND(F431="SOLD",G431='Team View'!$B$3),COUNTIFS($F$4:F431,"SOLD",$G$4:G431,'Team View'!$B$3),"")</f>
        <v/>
      </c>
    </row>
    <row r="432" spans="1:13">
      <c r="A432" s="1" t="str">
        <f t="shared" si="6"/>
        <v/>
      </c>
      <c r="B432" s="1"/>
      <c r="C432" s="1"/>
      <c r="D432" s="1"/>
      <c r="E432" s="7"/>
      <c r="F432" s="1"/>
      <c r="G432" s="1"/>
      <c r="H432" s="7"/>
      <c r="I432" s="1"/>
      <c r="J432" s="1" t="str">
        <f>IF(B432="","",IF(F432&lt;&gt;"SOLD","",IF(OR(G432="",H432=""),"SELECT TEAM &amp; PRICE",IFERROR(IF(H432&gt;INDEX(Teams!$B$4:$B$13,MATCH(G432,Teams!$A$4:$A$13,0))-SUMIFS($H$4:$H$503,$G$4:$G$503,G432,$F$4:$F$503,"SOLD",$A$4:$A$503,"&lt;&gt;"&amp;A432),"OVER BUDGET","OK"),"INVALID TEAM"))))</f>
        <v/>
      </c>
      <c r="K432" s="1" t="str">
        <f>IF(F432="SOLD",COUNTIF($F$4:F432,"SOLD"),"")</f>
        <v/>
      </c>
      <c r="L432" s="1" t="str">
        <f>IF(F432="UNSOLD",COUNTIF($F$4:F432,"UNSOLD"),"")</f>
        <v/>
      </c>
      <c r="M432" s="1" t="str">
        <f>IF(AND(F432="SOLD",G432='Team View'!$B$3),COUNTIFS($F$4:F432,"SOLD",$G$4:G432,'Team View'!$B$3),"")</f>
        <v/>
      </c>
    </row>
    <row r="433" spans="1:13">
      <c r="A433" s="1" t="str">
        <f t="shared" si="6"/>
        <v/>
      </c>
      <c r="B433" s="1"/>
      <c r="C433" s="1"/>
      <c r="D433" s="1"/>
      <c r="E433" s="7"/>
      <c r="F433" s="1"/>
      <c r="G433" s="1"/>
      <c r="H433" s="7"/>
      <c r="I433" s="1"/>
      <c r="J433" s="1" t="str">
        <f>IF(B433="","",IF(F433&lt;&gt;"SOLD","",IF(OR(G433="",H433=""),"SELECT TEAM &amp; PRICE",IFERROR(IF(H433&gt;INDEX(Teams!$B$4:$B$13,MATCH(G433,Teams!$A$4:$A$13,0))-SUMIFS($H$4:$H$503,$G$4:$G$503,G433,$F$4:$F$503,"SOLD",$A$4:$A$503,"&lt;&gt;"&amp;A433),"OVER BUDGET","OK"),"INVALID TEAM"))))</f>
        <v/>
      </c>
      <c r="K433" s="1" t="str">
        <f>IF(F433="SOLD",COUNTIF($F$4:F433,"SOLD"),"")</f>
        <v/>
      </c>
      <c r="L433" s="1" t="str">
        <f>IF(F433="UNSOLD",COUNTIF($F$4:F433,"UNSOLD"),"")</f>
        <v/>
      </c>
      <c r="M433" s="1" t="str">
        <f>IF(AND(F433="SOLD",G433='Team View'!$B$3),COUNTIFS($F$4:F433,"SOLD",$G$4:G433,'Team View'!$B$3),"")</f>
        <v/>
      </c>
    </row>
    <row r="434" spans="1:13">
      <c r="A434" s="1" t="str">
        <f t="shared" si="6"/>
        <v/>
      </c>
      <c r="B434" s="1"/>
      <c r="C434" s="1"/>
      <c r="D434" s="1"/>
      <c r="E434" s="7"/>
      <c r="F434" s="1"/>
      <c r="G434" s="1"/>
      <c r="H434" s="7"/>
      <c r="I434" s="1"/>
      <c r="J434" s="1" t="str">
        <f>IF(B434="","",IF(F434&lt;&gt;"SOLD","",IF(OR(G434="",H434=""),"SELECT TEAM &amp; PRICE",IFERROR(IF(H434&gt;INDEX(Teams!$B$4:$B$13,MATCH(G434,Teams!$A$4:$A$13,0))-SUMIFS($H$4:$H$503,$G$4:$G$503,G434,$F$4:$F$503,"SOLD",$A$4:$A$503,"&lt;&gt;"&amp;A434),"OVER BUDGET","OK"),"INVALID TEAM"))))</f>
        <v/>
      </c>
      <c r="K434" s="1" t="str">
        <f>IF(F434="SOLD",COUNTIF($F$4:F434,"SOLD"),"")</f>
        <v/>
      </c>
      <c r="L434" s="1" t="str">
        <f>IF(F434="UNSOLD",COUNTIF($F$4:F434,"UNSOLD"),"")</f>
        <v/>
      </c>
      <c r="M434" s="1" t="str">
        <f>IF(AND(F434="SOLD",G434='Team View'!$B$3),COUNTIFS($F$4:F434,"SOLD",$G$4:G434,'Team View'!$B$3),"")</f>
        <v/>
      </c>
    </row>
    <row r="435" spans="1:13">
      <c r="A435" s="1" t="str">
        <f t="shared" si="6"/>
        <v/>
      </c>
      <c r="B435" s="1"/>
      <c r="C435" s="1"/>
      <c r="D435" s="1"/>
      <c r="E435" s="7"/>
      <c r="F435" s="1"/>
      <c r="G435" s="1"/>
      <c r="H435" s="7"/>
      <c r="I435" s="1"/>
      <c r="J435" s="1" t="str">
        <f>IF(B435="","",IF(F435&lt;&gt;"SOLD","",IF(OR(G435="",H435=""),"SELECT TEAM &amp; PRICE",IFERROR(IF(H435&gt;INDEX(Teams!$B$4:$B$13,MATCH(G435,Teams!$A$4:$A$13,0))-SUMIFS($H$4:$H$503,$G$4:$G$503,G435,$F$4:$F$503,"SOLD",$A$4:$A$503,"&lt;&gt;"&amp;A435),"OVER BUDGET","OK"),"INVALID TEAM"))))</f>
        <v/>
      </c>
      <c r="K435" s="1" t="str">
        <f>IF(F435="SOLD",COUNTIF($F$4:F435,"SOLD"),"")</f>
        <v/>
      </c>
      <c r="L435" s="1" t="str">
        <f>IF(F435="UNSOLD",COUNTIF($F$4:F435,"UNSOLD"),"")</f>
        <v/>
      </c>
      <c r="M435" s="1" t="str">
        <f>IF(AND(F435="SOLD",G435='Team View'!$B$3),COUNTIFS($F$4:F435,"SOLD",$G$4:G435,'Team View'!$B$3),"")</f>
        <v/>
      </c>
    </row>
    <row r="436" spans="1:13">
      <c r="A436" s="1" t="str">
        <f t="shared" si="6"/>
        <v/>
      </c>
      <c r="B436" s="1"/>
      <c r="C436" s="1"/>
      <c r="D436" s="1"/>
      <c r="E436" s="7"/>
      <c r="F436" s="1"/>
      <c r="G436" s="1"/>
      <c r="H436" s="7"/>
      <c r="I436" s="1"/>
      <c r="J436" s="1" t="str">
        <f>IF(B436="","",IF(F436&lt;&gt;"SOLD","",IF(OR(G436="",H436=""),"SELECT TEAM &amp; PRICE",IFERROR(IF(H436&gt;INDEX(Teams!$B$4:$B$13,MATCH(G436,Teams!$A$4:$A$13,0))-SUMIFS($H$4:$H$503,$G$4:$G$503,G436,$F$4:$F$503,"SOLD",$A$4:$A$503,"&lt;&gt;"&amp;A436),"OVER BUDGET","OK"),"INVALID TEAM"))))</f>
        <v/>
      </c>
      <c r="K436" s="1" t="str">
        <f>IF(F436="SOLD",COUNTIF($F$4:F436,"SOLD"),"")</f>
        <v/>
      </c>
      <c r="L436" s="1" t="str">
        <f>IF(F436="UNSOLD",COUNTIF($F$4:F436,"UNSOLD"),"")</f>
        <v/>
      </c>
      <c r="M436" s="1" t="str">
        <f>IF(AND(F436="SOLD",G436='Team View'!$B$3),COUNTIFS($F$4:F436,"SOLD",$G$4:G436,'Team View'!$B$3),"")</f>
        <v/>
      </c>
    </row>
    <row r="437" spans="1:13">
      <c r="A437" s="1" t="str">
        <f t="shared" si="6"/>
        <v/>
      </c>
      <c r="B437" s="1"/>
      <c r="C437" s="1"/>
      <c r="D437" s="1"/>
      <c r="E437" s="7"/>
      <c r="F437" s="1"/>
      <c r="G437" s="1"/>
      <c r="H437" s="7"/>
      <c r="I437" s="1"/>
      <c r="J437" s="1" t="str">
        <f>IF(B437="","",IF(F437&lt;&gt;"SOLD","",IF(OR(G437="",H437=""),"SELECT TEAM &amp; PRICE",IFERROR(IF(H437&gt;INDEX(Teams!$B$4:$B$13,MATCH(G437,Teams!$A$4:$A$13,0))-SUMIFS($H$4:$H$503,$G$4:$G$503,G437,$F$4:$F$503,"SOLD",$A$4:$A$503,"&lt;&gt;"&amp;A437),"OVER BUDGET","OK"),"INVALID TEAM"))))</f>
        <v/>
      </c>
      <c r="K437" s="1" t="str">
        <f>IF(F437="SOLD",COUNTIF($F$4:F437,"SOLD"),"")</f>
        <v/>
      </c>
      <c r="L437" s="1" t="str">
        <f>IF(F437="UNSOLD",COUNTIF($F$4:F437,"UNSOLD"),"")</f>
        <v/>
      </c>
      <c r="M437" s="1" t="str">
        <f>IF(AND(F437="SOLD",G437='Team View'!$B$3),COUNTIFS($F$4:F437,"SOLD",$G$4:G437,'Team View'!$B$3),"")</f>
        <v/>
      </c>
    </row>
    <row r="438" spans="1:13">
      <c r="A438" s="1" t="str">
        <f t="shared" si="6"/>
        <v/>
      </c>
      <c r="B438" s="1"/>
      <c r="C438" s="1"/>
      <c r="D438" s="1"/>
      <c r="E438" s="7"/>
      <c r="F438" s="1"/>
      <c r="G438" s="1"/>
      <c r="H438" s="7"/>
      <c r="I438" s="1"/>
      <c r="J438" s="1" t="str">
        <f>IF(B438="","",IF(F438&lt;&gt;"SOLD","",IF(OR(G438="",H438=""),"SELECT TEAM &amp; PRICE",IFERROR(IF(H438&gt;INDEX(Teams!$B$4:$B$13,MATCH(G438,Teams!$A$4:$A$13,0))-SUMIFS($H$4:$H$503,$G$4:$G$503,G438,$F$4:$F$503,"SOLD",$A$4:$A$503,"&lt;&gt;"&amp;A438),"OVER BUDGET","OK"),"INVALID TEAM"))))</f>
        <v/>
      </c>
      <c r="K438" s="1" t="str">
        <f>IF(F438="SOLD",COUNTIF($F$4:F438,"SOLD"),"")</f>
        <v/>
      </c>
      <c r="L438" s="1" t="str">
        <f>IF(F438="UNSOLD",COUNTIF($F$4:F438,"UNSOLD"),"")</f>
        <v/>
      </c>
      <c r="M438" s="1" t="str">
        <f>IF(AND(F438="SOLD",G438='Team View'!$B$3),COUNTIFS($F$4:F438,"SOLD",$G$4:G438,'Team View'!$B$3),"")</f>
        <v/>
      </c>
    </row>
    <row r="439" spans="1:13">
      <c r="A439" s="1" t="str">
        <f t="shared" si="6"/>
        <v/>
      </c>
      <c r="B439" s="1"/>
      <c r="C439" s="1"/>
      <c r="D439" s="1"/>
      <c r="E439" s="7"/>
      <c r="F439" s="1"/>
      <c r="G439" s="1"/>
      <c r="H439" s="7"/>
      <c r="I439" s="1"/>
      <c r="J439" s="1" t="str">
        <f>IF(B439="","",IF(F439&lt;&gt;"SOLD","",IF(OR(G439="",H439=""),"SELECT TEAM &amp; PRICE",IFERROR(IF(H439&gt;INDEX(Teams!$B$4:$B$13,MATCH(G439,Teams!$A$4:$A$13,0))-SUMIFS($H$4:$H$503,$G$4:$G$503,G439,$F$4:$F$503,"SOLD",$A$4:$A$503,"&lt;&gt;"&amp;A439),"OVER BUDGET","OK"),"INVALID TEAM"))))</f>
        <v/>
      </c>
      <c r="K439" s="1" t="str">
        <f>IF(F439="SOLD",COUNTIF($F$4:F439,"SOLD"),"")</f>
        <v/>
      </c>
      <c r="L439" s="1" t="str">
        <f>IF(F439="UNSOLD",COUNTIF($F$4:F439,"UNSOLD"),"")</f>
        <v/>
      </c>
      <c r="M439" s="1" t="str">
        <f>IF(AND(F439="SOLD",G439='Team View'!$B$3),COUNTIFS($F$4:F439,"SOLD",$G$4:G439,'Team View'!$B$3),"")</f>
        <v/>
      </c>
    </row>
    <row r="440" spans="1:13">
      <c r="A440" s="1" t="str">
        <f t="shared" si="6"/>
        <v/>
      </c>
      <c r="B440" s="1"/>
      <c r="C440" s="1"/>
      <c r="D440" s="1"/>
      <c r="E440" s="7"/>
      <c r="F440" s="1"/>
      <c r="G440" s="1"/>
      <c r="H440" s="7"/>
      <c r="I440" s="1"/>
      <c r="J440" s="1" t="str">
        <f>IF(B440="","",IF(F440&lt;&gt;"SOLD","",IF(OR(G440="",H440=""),"SELECT TEAM &amp; PRICE",IFERROR(IF(H440&gt;INDEX(Teams!$B$4:$B$13,MATCH(G440,Teams!$A$4:$A$13,0))-SUMIFS($H$4:$H$503,$G$4:$G$503,G440,$F$4:$F$503,"SOLD",$A$4:$A$503,"&lt;&gt;"&amp;A440),"OVER BUDGET","OK"),"INVALID TEAM"))))</f>
        <v/>
      </c>
      <c r="K440" s="1" t="str">
        <f>IF(F440="SOLD",COUNTIF($F$4:F440,"SOLD"),"")</f>
        <v/>
      </c>
      <c r="L440" s="1" t="str">
        <f>IF(F440="UNSOLD",COUNTIF($F$4:F440,"UNSOLD"),"")</f>
        <v/>
      </c>
      <c r="M440" s="1" t="str">
        <f>IF(AND(F440="SOLD",G440='Team View'!$B$3),COUNTIFS($F$4:F440,"SOLD",$G$4:G440,'Team View'!$B$3),"")</f>
        <v/>
      </c>
    </row>
    <row r="441" spans="1:13">
      <c r="A441" s="1" t="str">
        <f t="shared" si="6"/>
        <v/>
      </c>
      <c r="B441" s="1"/>
      <c r="C441" s="1"/>
      <c r="D441" s="1"/>
      <c r="E441" s="7"/>
      <c r="F441" s="1"/>
      <c r="G441" s="1"/>
      <c r="H441" s="7"/>
      <c r="I441" s="1"/>
      <c r="J441" s="1" t="str">
        <f>IF(B441="","",IF(F441&lt;&gt;"SOLD","",IF(OR(G441="",H441=""),"SELECT TEAM &amp; PRICE",IFERROR(IF(H441&gt;INDEX(Teams!$B$4:$B$13,MATCH(G441,Teams!$A$4:$A$13,0))-SUMIFS($H$4:$H$503,$G$4:$G$503,G441,$F$4:$F$503,"SOLD",$A$4:$A$503,"&lt;&gt;"&amp;A441),"OVER BUDGET","OK"),"INVALID TEAM"))))</f>
        <v/>
      </c>
      <c r="K441" s="1" t="str">
        <f>IF(F441="SOLD",COUNTIF($F$4:F441,"SOLD"),"")</f>
        <v/>
      </c>
      <c r="L441" s="1" t="str">
        <f>IF(F441="UNSOLD",COUNTIF($F$4:F441,"UNSOLD"),"")</f>
        <v/>
      </c>
      <c r="M441" s="1" t="str">
        <f>IF(AND(F441="SOLD",G441='Team View'!$B$3),COUNTIFS($F$4:F441,"SOLD",$G$4:G441,'Team View'!$B$3),"")</f>
        <v/>
      </c>
    </row>
    <row r="442" spans="1:13">
      <c r="A442" s="1" t="str">
        <f t="shared" si="6"/>
        <v/>
      </c>
      <c r="B442" s="1"/>
      <c r="C442" s="1"/>
      <c r="D442" s="1"/>
      <c r="E442" s="7"/>
      <c r="F442" s="1"/>
      <c r="G442" s="1"/>
      <c r="H442" s="7"/>
      <c r="I442" s="1"/>
      <c r="J442" s="1" t="str">
        <f>IF(B442="","",IF(F442&lt;&gt;"SOLD","",IF(OR(G442="",H442=""),"SELECT TEAM &amp; PRICE",IFERROR(IF(H442&gt;INDEX(Teams!$B$4:$B$13,MATCH(G442,Teams!$A$4:$A$13,0))-SUMIFS($H$4:$H$503,$G$4:$G$503,G442,$F$4:$F$503,"SOLD",$A$4:$A$503,"&lt;&gt;"&amp;A442),"OVER BUDGET","OK"),"INVALID TEAM"))))</f>
        <v/>
      </c>
      <c r="K442" s="1" t="str">
        <f>IF(F442="SOLD",COUNTIF($F$4:F442,"SOLD"),"")</f>
        <v/>
      </c>
      <c r="L442" s="1" t="str">
        <f>IF(F442="UNSOLD",COUNTIF($F$4:F442,"UNSOLD"),"")</f>
        <v/>
      </c>
      <c r="M442" s="1" t="str">
        <f>IF(AND(F442="SOLD",G442='Team View'!$B$3),COUNTIFS($F$4:F442,"SOLD",$G$4:G442,'Team View'!$B$3),"")</f>
        <v/>
      </c>
    </row>
    <row r="443" spans="1:13">
      <c r="A443" s="1" t="str">
        <f t="shared" si="6"/>
        <v/>
      </c>
      <c r="B443" s="1"/>
      <c r="C443" s="1"/>
      <c r="D443" s="1"/>
      <c r="E443" s="7"/>
      <c r="F443" s="1"/>
      <c r="G443" s="1"/>
      <c r="H443" s="7"/>
      <c r="I443" s="1"/>
      <c r="J443" s="1" t="str">
        <f>IF(B443="","",IF(F443&lt;&gt;"SOLD","",IF(OR(G443="",H443=""),"SELECT TEAM &amp; PRICE",IFERROR(IF(H443&gt;INDEX(Teams!$B$4:$B$13,MATCH(G443,Teams!$A$4:$A$13,0))-SUMIFS($H$4:$H$503,$G$4:$G$503,G443,$F$4:$F$503,"SOLD",$A$4:$A$503,"&lt;&gt;"&amp;A443),"OVER BUDGET","OK"),"INVALID TEAM"))))</f>
        <v/>
      </c>
      <c r="K443" s="1" t="str">
        <f>IF(F443="SOLD",COUNTIF($F$4:F443,"SOLD"),"")</f>
        <v/>
      </c>
      <c r="L443" s="1" t="str">
        <f>IF(F443="UNSOLD",COUNTIF($F$4:F443,"UNSOLD"),"")</f>
        <v/>
      </c>
      <c r="M443" s="1" t="str">
        <f>IF(AND(F443="SOLD",G443='Team View'!$B$3),COUNTIFS($F$4:F443,"SOLD",$G$4:G443,'Team View'!$B$3),"")</f>
        <v/>
      </c>
    </row>
    <row r="444" spans="1:13">
      <c r="A444" s="1" t="str">
        <f t="shared" si="6"/>
        <v/>
      </c>
      <c r="B444" s="1"/>
      <c r="C444" s="1"/>
      <c r="D444" s="1"/>
      <c r="E444" s="7"/>
      <c r="F444" s="1"/>
      <c r="G444" s="1"/>
      <c r="H444" s="7"/>
      <c r="I444" s="1"/>
      <c r="J444" s="1" t="str">
        <f>IF(B444="","",IF(F444&lt;&gt;"SOLD","",IF(OR(G444="",H444=""),"SELECT TEAM &amp; PRICE",IFERROR(IF(H444&gt;INDEX(Teams!$B$4:$B$13,MATCH(G444,Teams!$A$4:$A$13,0))-SUMIFS($H$4:$H$503,$G$4:$G$503,G444,$F$4:$F$503,"SOLD",$A$4:$A$503,"&lt;&gt;"&amp;A444),"OVER BUDGET","OK"),"INVALID TEAM"))))</f>
        <v/>
      </c>
      <c r="K444" s="1" t="str">
        <f>IF(F444="SOLD",COUNTIF($F$4:F444,"SOLD"),"")</f>
        <v/>
      </c>
      <c r="L444" s="1" t="str">
        <f>IF(F444="UNSOLD",COUNTIF($F$4:F444,"UNSOLD"),"")</f>
        <v/>
      </c>
      <c r="M444" s="1" t="str">
        <f>IF(AND(F444="SOLD",G444='Team View'!$B$3),COUNTIFS($F$4:F444,"SOLD",$G$4:G444,'Team View'!$B$3),"")</f>
        <v/>
      </c>
    </row>
    <row r="445" spans="1:13">
      <c r="A445" s="1" t="str">
        <f t="shared" si="6"/>
        <v/>
      </c>
      <c r="B445" s="1"/>
      <c r="C445" s="1"/>
      <c r="D445" s="1"/>
      <c r="E445" s="7"/>
      <c r="F445" s="1"/>
      <c r="G445" s="1"/>
      <c r="H445" s="7"/>
      <c r="I445" s="1"/>
      <c r="J445" s="1" t="str">
        <f>IF(B445="","",IF(F445&lt;&gt;"SOLD","",IF(OR(G445="",H445=""),"SELECT TEAM &amp; PRICE",IFERROR(IF(H445&gt;INDEX(Teams!$B$4:$B$13,MATCH(G445,Teams!$A$4:$A$13,0))-SUMIFS($H$4:$H$503,$G$4:$G$503,G445,$F$4:$F$503,"SOLD",$A$4:$A$503,"&lt;&gt;"&amp;A445),"OVER BUDGET","OK"),"INVALID TEAM"))))</f>
        <v/>
      </c>
      <c r="K445" s="1" t="str">
        <f>IF(F445="SOLD",COUNTIF($F$4:F445,"SOLD"),"")</f>
        <v/>
      </c>
      <c r="L445" s="1" t="str">
        <f>IF(F445="UNSOLD",COUNTIF($F$4:F445,"UNSOLD"),"")</f>
        <v/>
      </c>
      <c r="M445" s="1" t="str">
        <f>IF(AND(F445="SOLD",G445='Team View'!$B$3),COUNTIFS($F$4:F445,"SOLD",$G$4:G445,'Team View'!$B$3),"")</f>
        <v/>
      </c>
    </row>
    <row r="446" spans="1:13">
      <c r="A446" s="1" t="str">
        <f t="shared" si="6"/>
        <v/>
      </c>
      <c r="B446" s="1"/>
      <c r="C446" s="1"/>
      <c r="D446" s="1"/>
      <c r="E446" s="7"/>
      <c r="F446" s="1"/>
      <c r="G446" s="1"/>
      <c r="H446" s="7"/>
      <c r="I446" s="1"/>
      <c r="J446" s="1" t="str">
        <f>IF(B446="","",IF(F446&lt;&gt;"SOLD","",IF(OR(G446="",H446=""),"SELECT TEAM &amp; PRICE",IFERROR(IF(H446&gt;INDEX(Teams!$B$4:$B$13,MATCH(G446,Teams!$A$4:$A$13,0))-SUMIFS($H$4:$H$503,$G$4:$G$503,G446,$F$4:$F$503,"SOLD",$A$4:$A$503,"&lt;&gt;"&amp;A446),"OVER BUDGET","OK"),"INVALID TEAM"))))</f>
        <v/>
      </c>
      <c r="K446" s="1" t="str">
        <f>IF(F446="SOLD",COUNTIF($F$4:F446,"SOLD"),"")</f>
        <v/>
      </c>
      <c r="L446" s="1" t="str">
        <f>IF(F446="UNSOLD",COUNTIF($F$4:F446,"UNSOLD"),"")</f>
        <v/>
      </c>
      <c r="M446" s="1" t="str">
        <f>IF(AND(F446="SOLD",G446='Team View'!$B$3),COUNTIFS($F$4:F446,"SOLD",$G$4:G446,'Team View'!$B$3),"")</f>
        <v/>
      </c>
    </row>
    <row r="447" spans="1:13">
      <c r="A447" s="1" t="str">
        <f t="shared" si="6"/>
        <v/>
      </c>
      <c r="B447" s="1"/>
      <c r="C447" s="1"/>
      <c r="D447" s="1"/>
      <c r="E447" s="7"/>
      <c r="F447" s="1"/>
      <c r="G447" s="1"/>
      <c r="H447" s="7"/>
      <c r="I447" s="1"/>
      <c r="J447" s="1" t="str">
        <f>IF(B447="","",IF(F447&lt;&gt;"SOLD","",IF(OR(G447="",H447=""),"SELECT TEAM &amp; PRICE",IFERROR(IF(H447&gt;INDEX(Teams!$B$4:$B$13,MATCH(G447,Teams!$A$4:$A$13,0))-SUMIFS($H$4:$H$503,$G$4:$G$503,G447,$F$4:$F$503,"SOLD",$A$4:$A$503,"&lt;&gt;"&amp;A447),"OVER BUDGET","OK"),"INVALID TEAM"))))</f>
        <v/>
      </c>
      <c r="K447" s="1" t="str">
        <f>IF(F447="SOLD",COUNTIF($F$4:F447,"SOLD"),"")</f>
        <v/>
      </c>
      <c r="L447" s="1" t="str">
        <f>IF(F447="UNSOLD",COUNTIF($F$4:F447,"UNSOLD"),"")</f>
        <v/>
      </c>
      <c r="M447" s="1" t="str">
        <f>IF(AND(F447="SOLD",G447='Team View'!$B$3),COUNTIFS($F$4:F447,"SOLD",$G$4:G447,'Team View'!$B$3),"")</f>
        <v/>
      </c>
    </row>
    <row r="448" spans="1:13">
      <c r="A448" s="1" t="str">
        <f t="shared" si="6"/>
        <v/>
      </c>
      <c r="B448" s="1"/>
      <c r="C448" s="1"/>
      <c r="D448" s="1"/>
      <c r="E448" s="7"/>
      <c r="F448" s="1"/>
      <c r="G448" s="1"/>
      <c r="H448" s="7"/>
      <c r="I448" s="1"/>
      <c r="J448" s="1" t="str">
        <f>IF(B448="","",IF(F448&lt;&gt;"SOLD","",IF(OR(G448="",H448=""),"SELECT TEAM &amp; PRICE",IFERROR(IF(H448&gt;INDEX(Teams!$B$4:$B$13,MATCH(G448,Teams!$A$4:$A$13,0))-SUMIFS($H$4:$H$503,$G$4:$G$503,G448,$F$4:$F$503,"SOLD",$A$4:$A$503,"&lt;&gt;"&amp;A448),"OVER BUDGET","OK"),"INVALID TEAM"))))</f>
        <v/>
      </c>
      <c r="K448" s="1" t="str">
        <f>IF(F448="SOLD",COUNTIF($F$4:F448,"SOLD"),"")</f>
        <v/>
      </c>
      <c r="L448" s="1" t="str">
        <f>IF(F448="UNSOLD",COUNTIF($F$4:F448,"UNSOLD"),"")</f>
        <v/>
      </c>
      <c r="M448" s="1" t="str">
        <f>IF(AND(F448="SOLD",G448='Team View'!$B$3),COUNTIFS($F$4:F448,"SOLD",$G$4:G448,'Team View'!$B$3),"")</f>
        <v/>
      </c>
    </row>
    <row r="449" spans="1:13">
      <c r="A449" s="1" t="str">
        <f t="shared" si="6"/>
        <v/>
      </c>
      <c r="B449" s="1"/>
      <c r="C449" s="1"/>
      <c r="D449" s="1"/>
      <c r="E449" s="7"/>
      <c r="F449" s="1"/>
      <c r="G449" s="1"/>
      <c r="H449" s="7"/>
      <c r="I449" s="1"/>
      <c r="J449" s="1" t="str">
        <f>IF(B449="","",IF(F449&lt;&gt;"SOLD","",IF(OR(G449="",H449=""),"SELECT TEAM &amp; PRICE",IFERROR(IF(H449&gt;INDEX(Teams!$B$4:$B$13,MATCH(G449,Teams!$A$4:$A$13,0))-SUMIFS($H$4:$H$503,$G$4:$G$503,G449,$F$4:$F$503,"SOLD",$A$4:$A$503,"&lt;&gt;"&amp;A449),"OVER BUDGET","OK"),"INVALID TEAM"))))</f>
        <v/>
      </c>
      <c r="K449" s="1" t="str">
        <f>IF(F449="SOLD",COUNTIF($F$4:F449,"SOLD"),"")</f>
        <v/>
      </c>
      <c r="L449" s="1" t="str">
        <f>IF(F449="UNSOLD",COUNTIF($F$4:F449,"UNSOLD"),"")</f>
        <v/>
      </c>
      <c r="M449" s="1" t="str">
        <f>IF(AND(F449="SOLD",G449='Team View'!$B$3),COUNTIFS($F$4:F449,"SOLD",$G$4:G449,'Team View'!$B$3),"")</f>
        <v/>
      </c>
    </row>
    <row r="450" spans="1:13">
      <c r="A450" s="1" t="str">
        <f t="shared" si="6"/>
        <v/>
      </c>
      <c r="B450" s="1"/>
      <c r="C450" s="1"/>
      <c r="D450" s="1"/>
      <c r="E450" s="7"/>
      <c r="F450" s="1"/>
      <c r="G450" s="1"/>
      <c r="H450" s="7"/>
      <c r="I450" s="1"/>
      <c r="J450" s="1" t="str">
        <f>IF(B450="","",IF(F450&lt;&gt;"SOLD","",IF(OR(G450="",H450=""),"SELECT TEAM &amp; PRICE",IFERROR(IF(H450&gt;INDEX(Teams!$B$4:$B$13,MATCH(G450,Teams!$A$4:$A$13,0))-SUMIFS($H$4:$H$503,$G$4:$G$503,G450,$F$4:$F$503,"SOLD",$A$4:$A$503,"&lt;&gt;"&amp;A450),"OVER BUDGET","OK"),"INVALID TEAM"))))</f>
        <v/>
      </c>
      <c r="K450" s="1" t="str">
        <f>IF(F450="SOLD",COUNTIF($F$4:F450,"SOLD"),"")</f>
        <v/>
      </c>
      <c r="L450" s="1" t="str">
        <f>IF(F450="UNSOLD",COUNTIF($F$4:F450,"UNSOLD"),"")</f>
        <v/>
      </c>
      <c r="M450" s="1" t="str">
        <f>IF(AND(F450="SOLD",G450='Team View'!$B$3),COUNTIFS($F$4:F450,"SOLD",$G$4:G450,'Team View'!$B$3),"")</f>
        <v/>
      </c>
    </row>
    <row r="451" spans="1:13">
      <c r="A451" s="1" t="str">
        <f t="shared" si="6"/>
        <v/>
      </c>
      <c r="B451" s="1"/>
      <c r="C451" s="1"/>
      <c r="D451" s="1"/>
      <c r="E451" s="7"/>
      <c r="F451" s="1"/>
      <c r="G451" s="1"/>
      <c r="H451" s="7"/>
      <c r="I451" s="1"/>
      <c r="J451" s="1" t="str">
        <f>IF(B451="","",IF(F451&lt;&gt;"SOLD","",IF(OR(G451="",H451=""),"SELECT TEAM &amp; PRICE",IFERROR(IF(H451&gt;INDEX(Teams!$B$4:$B$13,MATCH(G451,Teams!$A$4:$A$13,0))-SUMIFS($H$4:$H$503,$G$4:$G$503,G451,$F$4:$F$503,"SOLD",$A$4:$A$503,"&lt;&gt;"&amp;A451),"OVER BUDGET","OK"),"INVALID TEAM"))))</f>
        <v/>
      </c>
      <c r="K451" s="1" t="str">
        <f>IF(F451="SOLD",COUNTIF($F$4:F451,"SOLD"),"")</f>
        <v/>
      </c>
      <c r="L451" s="1" t="str">
        <f>IF(F451="UNSOLD",COUNTIF($F$4:F451,"UNSOLD"),"")</f>
        <v/>
      </c>
      <c r="M451" s="1" t="str">
        <f>IF(AND(F451="SOLD",G451='Team View'!$B$3),COUNTIFS($F$4:F451,"SOLD",$G$4:G451,'Team View'!$B$3),"")</f>
        <v/>
      </c>
    </row>
    <row r="452" spans="1:13">
      <c r="A452" s="1" t="str">
        <f t="shared" ref="A452:A503" si="7">IF(B452="","",ROW()-3)</f>
        <v/>
      </c>
      <c r="B452" s="1"/>
      <c r="C452" s="1"/>
      <c r="D452" s="1"/>
      <c r="E452" s="7"/>
      <c r="F452" s="1"/>
      <c r="G452" s="1"/>
      <c r="H452" s="7"/>
      <c r="I452" s="1"/>
      <c r="J452" s="1" t="str">
        <f>IF(B452="","",IF(F452&lt;&gt;"SOLD","",IF(OR(G452="",H452=""),"SELECT TEAM &amp; PRICE",IFERROR(IF(H452&gt;INDEX(Teams!$B$4:$B$13,MATCH(G452,Teams!$A$4:$A$13,0))-SUMIFS($H$4:$H$503,$G$4:$G$503,G452,$F$4:$F$503,"SOLD",$A$4:$A$503,"&lt;&gt;"&amp;A452),"OVER BUDGET","OK"),"INVALID TEAM"))))</f>
        <v/>
      </c>
      <c r="K452" s="1" t="str">
        <f>IF(F452="SOLD",COUNTIF($F$4:F452,"SOLD"),"")</f>
        <v/>
      </c>
      <c r="L452" s="1" t="str">
        <f>IF(F452="UNSOLD",COUNTIF($F$4:F452,"UNSOLD"),"")</f>
        <v/>
      </c>
      <c r="M452" s="1" t="str">
        <f>IF(AND(F452="SOLD",G452='Team View'!$B$3),COUNTIFS($F$4:F452,"SOLD",$G$4:G452,'Team View'!$B$3),"")</f>
        <v/>
      </c>
    </row>
    <row r="453" spans="1:13">
      <c r="A453" s="1" t="str">
        <f t="shared" si="7"/>
        <v/>
      </c>
      <c r="B453" s="1"/>
      <c r="C453" s="1"/>
      <c r="D453" s="1"/>
      <c r="E453" s="7"/>
      <c r="F453" s="1"/>
      <c r="G453" s="1"/>
      <c r="H453" s="7"/>
      <c r="I453" s="1"/>
      <c r="J453" s="1" t="str">
        <f>IF(B453="","",IF(F453&lt;&gt;"SOLD","",IF(OR(G453="",H453=""),"SELECT TEAM &amp; PRICE",IFERROR(IF(H453&gt;INDEX(Teams!$B$4:$B$13,MATCH(G453,Teams!$A$4:$A$13,0))-SUMIFS($H$4:$H$503,$G$4:$G$503,G453,$F$4:$F$503,"SOLD",$A$4:$A$503,"&lt;&gt;"&amp;A453),"OVER BUDGET","OK"),"INVALID TEAM"))))</f>
        <v/>
      </c>
      <c r="K453" s="1" t="str">
        <f>IF(F453="SOLD",COUNTIF($F$4:F453,"SOLD"),"")</f>
        <v/>
      </c>
      <c r="L453" s="1" t="str">
        <f>IF(F453="UNSOLD",COUNTIF($F$4:F453,"UNSOLD"),"")</f>
        <v/>
      </c>
      <c r="M453" s="1" t="str">
        <f>IF(AND(F453="SOLD",G453='Team View'!$B$3),COUNTIFS($F$4:F453,"SOLD",$G$4:G453,'Team View'!$B$3),"")</f>
        <v/>
      </c>
    </row>
    <row r="454" spans="1:13">
      <c r="A454" s="1" t="str">
        <f t="shared" si="7"/>
        <v/>
      </c>
      <c r="B454" s="1"/>
      <c r="C454" s="1"/>
      <c r="D454" s="1"/>
      <c r="E454" s="7"/>
      <c r="F454" s="1"/>
      <c r="G454" s="1"/>
      <c r="H454" s="7"/>
      <c r="I454" s="1"/>
      <c r="J454" s="1" t="str">
        <f>IF(B454="","",IF(F454&lt;&gt;"SOLD","",IF(OR(G454="",H454=""),"SELECT TEAM &amp; PRICE",IFERROR(IF(H454&gt;INDEX(Teams!$B$4:$B$13,MATCH(G454,Teams!$A$4:$A$13,0))-SUMIFS($H$4:$H$503,$G$4:$G$503,G454,$F$4:$F$503,"SOLD",$A$4:$A$503,"&lt;&gt;"&amp;A454),"OVER BUDGET","OK"),"INVALID TEAM"))))</f>
        <v/>
      </c>
      <c r="K454" s="1" t="str">
        <f>IF(F454="SOLD",COUNTIF($F$4:F454,"SOLD"),"")</f>
        <v/>
      </c>
      <c r="L454" s="1" t="str">
        <f>IF(F454="UNSOLD",COUNTIF($F$4:F454,"UNSOLD"),"")</f>
        <v/>
      </c>
      <c r="M454" s="1" t="str">
        <f>IF(AND(F454="SOLD",G454='Team View'!$B$3),COUNTIFS($F$4:F454,"SOLD",$G$4:G454,'Team View'!$B$3),"")</f>
        <v/>
      </c>
    </row>
    <row r="455" spans="1:13">
      <c r="A455" s="1" t="str">
        <f t="shared" si="7"/>
        <v/>
      </c>
      <c r="B455" s="1"/>
      <c r="C455" s="1"/>
      <c r="D455" s="1"/>
      <c r="E455" s="7"/>
      <c r="F455" s="1"/>
      <c r="G455" s="1"/>
      <c r="H455" s="7"/>
      <c r="I455" s="1"/>
      <c r="J455" s="1" t="str">
        <f>IF(B455="","",IF(F455&lt;&gt;"SOLD","",IF(OR(G455="",H455=""),"SELECT TEAM &amp; PRICE",IFERROR(IF(H455&gt;INDEX(Teams!$B$4:$B$13,MATCH(G455,Teams!$A$4:$A$13,0))-SUMIFS($H$4:$H$503,$G$4:$G$503,G455,$F$4:$F$503,"SOLD",$A$4:$A$503,"&lt;&gt;"&amp;A455),"OVER BUDGET","OK"),"INVALID TEAM"))))</f>
        <v/>
      </c>
      <c r="K455" s="1" t="str">
        <f>IF(F455="SOLD",COUNTIF($F$4:F455,"SOLD"),"")</f>
        <v/>
      </c>
      <c r="L455" s="1" t="str">
        <f>IF(F455="UNSOLD",COUNTIF($F$4:F455,"UNSOLD"),"")</f>
        <v/>
      </c>
      <c r="M455" s="1" t="str">
        <f>IF(AND(F455="SOLD",G455='Team View'!$B$3),COUNTIFS($F$4:F455,"SOLD",$G$4:G455,'Team View'!$B$3),"")</f>
        <v/>
      </c>
    </row>
    <row r="456" spans="1:13">
      <c r="A456" s="1" t="str">
        <f t="shared" si="7"/>
        <v/>
      </c>
      <c r="B456" s="1"/>
      <c r="C456" s="1"/>
      <c r="D456" s="1"/>
      <c r="E456" s="7"/>
      <c r="F456" s="1"/>
      <c r="G456" s="1"/>
      <c r="H456" s="7"/>
      <c r="I456" s="1"/>
      <c r="J456" s="1" t="str">
        <f>IF(B456="","",IF(F456&lt;&gt;"SOLD","",IF(OR(G456="",H456=""),"SELECT TEAM &amp; PRICE",IFERROR(IF(H456&gt;INDEX(Teams!$B$4:$B$13,MATCH(G456,Teams!$A$4:$A$13,0))-SUMIFS($H$4:$H$503,$G$4:$G$503,G456,$F$4:$F$503,"SOLD",$A$4:$A$503,"&lt;&gt;"&amp;A456),"OVER BUDGET","OK"),"INVALID TEAM"))))</f>
        <v/>
      </c>
      <c r="K456" s="1" t="str">
        <f>IF(F456="SOLD",COUNTIF($F$4:F456,"SOLD"),"")</f>
        <v/>
      </c>
      <c r="L456" s="1" t="str">
        <f>IF(F456="UNSOLD",COUNTIF($F$4:F456,"UNSOLD"),"")</f>
        <v/>
      </c>
      <c r="M456" s="1" t="str">
        <f>IF(AND(F456="SOLD",G456='Team View'!$B$3),COUNTIFS($F$4:F456,"SOLD",$G$4:G456,'Team View'!$B$3),"")</f>
        <v/>
      </c>
    </row>
    <row r="457" spans="1:13">
      <c r="A457" s="1" t="str">
        <f t="shared" si="7"/>
        <v/>
      </c>
      <c r="B457" s="1"/>
      <c r="C457" s="1"/>
      <c r="D457" s="1"/>
      <c r="E457" s="7"/>
      <c r="F457" s="1"/>
      <c r="G457" s="1"/>
      <c r="H457" s="7"/>
      <c r="I457" s="1"/>
      <c r="J457" s="1" t="str">
        <f>IF(B457="","",IF(F457&lt;&gt;"SOLD","",IF(OR(G457="",H457=""),"SELECT TEAM &amp; PRICE",IFERROR(IF(H457&gt;INDEX(Teams!$B$4:$B$13,MATCH(G457,Teams!$A$4:$A$13,0))-SUMIFS($H$4:$H$503,$G$4:$G$503,G457,$F$4:$F$503,"SOLD",$A$4:$A$503,"&lt;&gt;"&amp;A457),"OVER BUDGET","OK"),"INVALID TEAM"))))</f>
        <v/>
      </c>
      <c r="K457" s="1" t="str">
        <f>IF(F457="SOLD",COUNTIF($F$4:F457,"SOLD"),"")</f>
        <v/>
      </c>
      <c r="L457" s="1" t="str">
        <f>IF(F457="UNSOLD",COUNTIF($F$4:F457,"UNSOLD"),"")</f>
        <v/>
      </c>
      <c r="M457" s="1" t="str">
        <f>IF(AND(F457="SOLD",G457='Team View'!$B$3),COUNTIFS($F$4:F457,"SOLD",$G$4:G457,'Team View'!$B$3),"")</f>
        <v/>
      </c>
    </row>
    <row r="458" spans="1:13">
      <c r="A458" s="1" t="str">
        <f t="shared" si="7"/>
        <v/>
      </c>
      <c r="B458" s="1"/>
      <c r="C458" s="1"/>
      <c r="D458" s="1"/>
      <c r="E458" s="7"/>
      <c r="F458" s="1"/>
      <c r="G458" s="1"/>
      <c r="H458" s="7"/>
      <c r="I458" s="1"/>
      <c r="J458" s="1" t="str">
        <f>IF(B458="","",IF(F458&lt;&gt;"SOLD","",IF(OR(G458="",H458=""),"SELECT TEAM &amp; PRICE",IFERROR(IF(H458&gt;INDEX(Teams!$B$4:$B$13,MATCH(G458,Teams!$A$4:$A$13,0))-SUMIFS($H$4:$H$503,$G$4:$G$503,G458,$F$4:$F$503,"SOLD",$A$4:$A$503,"&lt;&gt;"&amp;A458),"OVER BUDGET","OK"),"INVALID TEAM"))))</f>
        <v/>
      </c>
      <c r="K458" s="1" t="str">
        <f>IF(F458="SOLD",COUNTIF($F$4:F458,"SOLD"),"")</f>
        <v/>
      </c>
      <c r="L458" s="1" t="str">
        <f>IF(F458="UNSOLD",COUNTIF($F$4:F458,"UNSOLD"),"")</f>
        <v/>
      </c>
      <c r="M458" s="1" t="str">
        <f>IF(AND(F458="SOLD",G458='Team View'!$B$3),COUNTIFS($F$4:F458,"SOLD",$G$4:G458,'Team View'!$B$3),"")</f>
        <v/>
      </c>
    </row>
    <row r="459" spans="1:13">
      <c r="A459" s="1" t="str">
        <f t="shared" si="7"/>
        <v/>
      </c>
      <c r="B459" s="1"/>
      <c r="C459" s="1"/>
      <c r="D459" s="1"/>
      <c r="E459" s="7"/>
      <c r="F459" s="1"/>
      <c r="G459" s="1"/>
      <c r="H459" s="7"/>
      <c r="I459" s="1"/>
      <c r="J459" s="1" t="str">
        <f>IF(B459="","",IF(F459&lt;&gt;"SOLD","",IF(OR(G459="",H459=""),"SELECT TEAM &amp; PRICE",IFERROR(IF(H459&gt;INDEX(Teams!$B$4:$B$13,MATCH(G459,Teams!$A$4:$A$13,0))-SUMIFS($H$4:$H$503,$G$4:$G$503,G459,$F$4:$F$503,"SOLD",$A$4:$A$503,"&lt;&gt;"&amp;A459),"OVER BUDGET","OK"),"INVALID TEAM"))))</f>
        <v/>
      </c>
      <c r="K459" s="1" t="str">
        <f>IF(F459="SOLD",COUNTIF($F$4:F459,"SOLD"),"")</f>
        <v/>
      </c>
      <c r="L459" s="1" t="str">
        <f>IF(F459="UNSOLD",COUNTIF($F$4:F459,"UNSOLD"),"")</f>
        <v/>
      </c>
      <c r="M459" s="1" t="str">
        <f>IF(AND(F459="SOLD",G459='Team View'!$B$3),COUNTIFS($F$4:F459,"SOLD",$G$4:G459,'Team View'!$B$3),"")</f>
        <v/>
      </c>
    </row>
    <row r="460" spans="1:13">
      <c r="A460" s="1" t="str">
        <f t="shared" si="7"/>
        <v/>
      </c>
      <c r="B460" s="1"/>
      <c r="C460" s="1"/>
      <c r="D460" s="1"/>
      <c r="E460" s="7"/>
      <c r="F460" s="1"/>
      <c r="G460" s="1"/>
      <c r="H460" s="7"/>
      <c r="I460" s="1"/>
      <c r="J460" s="1" t="str">
        <f>IF(B460="","",IF(F460&lt;&gt;"SOLD","",IF(OR(G460="",H460=""),"SELECT TEAM &amp; PRICE",IFERROR(IF(H460&gt;INDEX(Teams!$B$4:$B$13,MATCH(G460,Teams!$A$4:$A$13,0))-SUMIFS($H$4:$H$503,$G$4:$G$503,G460,$F$4:$F$503,"SOLD",$A$4:$A$503,"&lt;&gt;"&amp;A460),"OVER BUDGET","OK"),"INVALID TEAM"))))</f>
        <v/>
      </c>
      <c r="K460" s="1" t="str">
        <f>IF(F460="SOLD",COUNTIF($F$4:F460,"SOLD"),"")</f>
        <v/>
      </c>
      <c r="L460" s="1" t="str">
        <f>IF(F460="UNSOLD",COUNTIF($F$4:F460,"UNSOLD"),"")</f>
        <v/>
      </c>
      <c r="M460" s="1" t="str">
        <f>IF(AND(F460="SOLD",G460='Team View'!$B$3),COUNTIFS($F$4:F460,"SOLD",$G$4:G460,'Team View'!$B$3),"")</f>
        <v/>
      </c>
    </row>
    <row r="461" spans="1:13">
      <c r="A461" s="1" t="str">
        <f t="shared" si="7"/>
        <v/>
      </c>
      <c r="B461" s="1"/>
      <c r="C461" s="1"/>
      <c r="D461" s="1"/>
      <c r="E461" s="7"/>
      <c r="F461" s="1"/>
      <c r="G461" s="1"/>
      <c r="H461" s="7"/>
      <c r="I461" s="1"/>
      <c r="J461" s="1" t="str">
        <f>IF(B461="","",IF(F461&lt;&gt;"SOLD","",IF(OR(G461="",H461=""),"SELECT TEAM &amp; PRICE",IFERROR(IF(H461&gt;INDEX(Teams!$B$4:$B$13,MATCH(G461,Teams!$A$4:$A$13,0))-SUMIFS($H$4:$H$503,$G$4:$G$503,G461,$F$4:$F$503,"SOLD",$A$4:$A$503,"&lt;&gt;"&amp;A461),"OVER BUDGET","OK"),"INVALID TEAM"))))</f>
        <v/>
      </c>
      <c r="K461" s="1" t="str">
        <f>IF(F461="SOLD",COUNTIF($F$4:F461,"SOLD"),"")</f>
        <v/>
      </c>
      <c r="L461" s="1" t="str">
        <f>IF(F461="UNSOLD",COUNTIF($F$4:F461,"UNSOLD"),"")</f>
        <v/>
      </c>
      <c r="M461" s="1" t="str">
        <f>IF(AND(F461="SOLD",G461='Team View'!$B$3),COUNTIFS($F$4:F461,"SOLD",$G$4:G461,'Team View'!$B$3),"")</f>
        <v/>
      </c>
    </row>
    <row r="462" spans="1:13">
      <c r="A462" s="1" t="str">
        <f t="shared" si="7"/>
        <v/>
      </c>
      <c r="B462" s="1"/>
      <c r="C462" s="1"/>
      <c r="D462" s="1"/>
      <c r="E462" s="7"/>
      <c r="F462" s="1"/>
      <c r="G462" s="1"/>
      <c r="H462" s="7"/>
      <c r="I462" s="1"/>
      <c r="J462" s="1" t="str">
        <f>IF(B462="","",IF(F462&lt;&gt;"SOLD","",IF(OR(G462="",H462=""),"SELECT TEAM &amp; PRICE",IFERROR(IF(H462&gt;INDEX(Teams!$B$4:$B$13,MATCH(G462,Teams!$A$4:$A$13,0))-SUMIFS($H$4:$H$503,$G$4:$G$503,G462,$F$4:$F$503,"SOLD",$A$4:$A$503,"&lt;&gt;"&amp;A462),"OVER BUDGET","OK"),"INVALID TEAM"))))</f>
        <v/>
      </c>
      <c r="K462" s="1" t="str">
        <f>IF(F462="SOLD",COUNTIF($F$4:F462,"SOLD"),"")</f>
        <v/>
      </c>
      <c r="L462" s="1" t="str">
        <f>IF(F462="UNSOLD",COUNTIF($F$4:F462,"UNSOLD"),"")</f>
        <v/>
      </c>
      <c r="M462" s="1" t="str">
        <f>IF(AND(F462="SOLD",G462='Team View'!$B$3),COUNTIFS($F$4:F462,"SOLD",$G$4:G462,'Team View'!$B$3),"")</f>
        <v/>
      </c>
    </row>
    <row r="463" spans="1:13">
      <c r="A463" s="1" t="str">
        <f t="shared" si="7"/>
        <v/>
      </c>
      <c r="B463" s="1"/>
      <c r="C463" s="1"/>
      <c r="D463" s="1"/>
      <c r="E463" s="7"/>
      <c r="F463" s="1"/>
      <c r="G463" s="1"/>
      <c r="H463" s="7"/>
      <c r="I463" s="1"/>
      <c r="J463" s="1" t="str">
        <f>IF(B463="","",IF(F463&lt;&gt;"SOLD","",IF(OR(G463="",H463=""),"SELECT TEAM &amp; PRICE",IFERROR(IF(H463&gt;INDEX(Teams!$B$4:$B$13,MATCH(G463,Teams!$A$4:$A$13,0))-SUMIFS($H$4:$H$503,$G$4:$G$503,G463,$F$4:$F$503,"SOLD",$A$4:$A$503,"&lt;&gt;"&amp;A463),"OVER BUDGET","OK"),"INVALID TEAM"))))</f>
        <v/>
      </c>
      <c r="K463" s="1" t="str">
        <f>IF(F463="SOLD",COUNTIF($F$4:F463,"SOLD"),"")</f>
        <v/>
      </c>
      <c r="L463" s="1" t="str">
        <f>IF(F463="UNSOLD",COUNTIF($F$4:F463,"UNSOLD"),"")</f>
        <v/>
      </c>
      <c r="M463" s="1" t="str">
        <f>IF(AND(F463="SOLD",G463='Team View'!$B$3),COUNTIFS($F$4:F463,"SOLD",$G$4:G463,'Team View'!$B$3),"")</f>
        <v/>
      </c>
    </row>
    <row r="464" spans="1:13">
      <c r="A464" s="1" t="str">
        <f t="shared" si="7"/>
        <v/>
      </c>
      <c r="B464" s="1"/>
      <c r="C464" s="1"/>
      <c r="D464" s="1"/>
      <c r="E464" s="7"/>
      <c r="F464" s="1"/>
      <c r="G464" s="1"/>
      <c r="H464" s="7"/>
      <c r="I464" s="1"/>
      <c r="J464" s="1" t="str">
        <f>IF(B464="","",IF(F464&lt;&gt;"SOLD","",IF(OR(G464="",H464=""),"SELECT TEAM &amp; PRICE",IFERROR(IF(H464&gt;INDEX(Teams!$B$4:$B$13,MATCH(G464,Teams!$A$4:$A$13,0))-SUMIFS($H$4:$H$503,$G$4:$G$503,G464,$F$4:$F$503,"SOLD",$A$4:$A$503,"&lt;&gt;"&amp;A464),"OVER BUDGET","OK"),"INVALID TEAM"))))</f>
        <v/>
      </c>
      <c r="K464" s="1" t="str">
        <f>IF(F464="SOLD",COUNTIF($F$4:F464,"SOLD"),"")</f>
        <v/>
      </c>
      <c r="L464" s="1" t="str">
        <f>IF(F464="UNSOLD",COUNTIF($F$4:F464,"UNSOLD"),"")</f>
        <v/>
      </c>
      <c r="M464" s="1" t="str">
        <f>IF(AND(F464="SOLD",G464='Team View'!$B$3),COUNTIFS($F$4:F464,"SOLD",$G$4:G464,'Team View'!$B$3),"")</f>
        <v/>
      </c>
    </row>
    <row r="465" spans="1:13">
      <c r="A465" s="1" t="str">
        <f t="shared" si="7"/>
        <v/>
      </c>
      <c r="B465" s="1"/>
      <c r="C465" s="1"/>
      <c r="D465" s="1"/>
      <c r="E465" s="7"/>
      <c r="F465" s="1"/>
      <c r="G465" s="1"/>
      <c r="H465" s="7"/>
      <c r="I465" s="1"/>
      <c r="J465" s="1" t="str">
        <f>IF(B465="","",IF(F465&lt;&gt;"SOLD","",IF(OR(G465="",H465=""),"SELECT TEAM &amp; PRICE",IFERROR(IF(H465&gt;INDEX(Teams!$B$4:$B$13,MATCH(G465,Teams!$A$4:$A$13,0))-SUMIFS($H$4:$H$503,$G$4:$G$503,G465,$F$4:$F$503,"SOLD",$A$4:$A$503,"&lt;&gt;"&amp;A465),"OVER BUDGET","OK"),"INVALID TEAM"))))</f>
        <v/>
      </c>
      <c r="K465" s="1" t="str">
        <f>IF(F465="SOLD",COUNTIF($F$4:F465,"SOLD"),"")</f>
        <v/>
      </c>
      <c r="L465" s="1" t="str">
        <f>IF(F465="UNSOLD",COUNTIF($F$4:F465,"UNSOLD"),"")</f>
        <v/>
      </c>
      <c r="M465" s="1" t="str">
        <f>IF(AND(F465="SOLD",G465='Team View'!$B$3),COUNTIFS($F$4:F465,"SOLD",$G$4:G465,'Team View'!$B$3),"")</f>
        <v/>
      </c>
    </row>
    <row r="466" spans="1:13">
      <c r="A466" s="1" t="str">
        <f t="shared" si="7"/>
        <v/>
      </c>
      <c r="B466" s="1"/>
      <c r="C466" s="1"/>
      <c r="D466" s="1"/>
      <c r="E466" s="7"/>
      <c r="F466" s="1"/>
      <c r="G466" s="1"/>
      <c r="H466" s="7"/>
      <c r="I466" s="1"/>
      <c r="J466" s="1" t="str">
        <f>IF(B466="","",IF(F466&lt;&gt;"SOLD","",IF(OR(G466="",H466=""),"SELECT TEAM &amp; PRICE",IFERROR(IF(H466&gt;INDEX(Teams!$B$4:$B$13,MATCH(G466,Teams!$A$4:$A$13,0))-SUMIFS($H$4:$H$503,$G$4:$G$503,G466,$F$4:$F$503,"SOLD",$A$4:$A$503,"&lt;&gt;"&amp;A466),"OVER BUDGET","OK"),"INVALID TEAM"))))</f>
        <v/>
      </c>
      <c r="K466" s="1" t="str">
        <f>IF(F466="SOLD",COUNTIF($F$4:F466,"SOLD"),"")</f>
        <v/>
      </c>
      <c r="L466" s="1" t="str">
        <f>IF(F466="UNSOLD",COUNTIF($F$4:F466,"UNSOLD"),"")</f>
        <v/>
      </c>
      <c r="M466" s="1" t="str">
        <f>IF(AND(F466="SOLD",G466='Team View'!$B$3),COUNTIFS($F$4:F466,"SOLD",$G$4:G466,'Team View'!$B$3),"")</f>
        <v/>
      </c>
    </row>
    <row r="467" spans="1:13">
      <c r="A467" s="1" t="str">
        <f t="shared" si="7"/>
        <v/>
      </c>
      <c r="B467" s="1"/>
      <c r="C467" s="1"/>
      <c r="D467" s="1"/>
      <c r="E467" s="7"/>
      <c r="F467" s="1"/>
      <c r="G467" s="1"/>
      <c r="H467" s="7"/>
      <c r="I467" s="1"/>
      <c r="J467" s="1" t="str">
        <f>IF(B467="","",IF(F467&lt;&gt;"SOLD","",IF(OR(G467="",H467=""),"SELECT TEAM &amp; PRICE",IFERROR(IF(H467&gt;INDEX(Teams!$B$4:$B$13,MATCH(G467,Teams!$A$4:$A$13,0))-SUMIFS($H$4:$H$503,$G$4:$G$503,G467,$F$4:$F$503,"SOLD",$A$4:$A$503,"&lt;&gt;"&amp;A467),"OVER BUDGET","OK"),"INVALID TEAM"))))</f>
        <v/>
      </c>
      <c r="K467" s="1" t="str">
        <f>IF(F467="SOLD",COUNTIF($F$4:F467,"SOLD"),"")</f>
        <v/>
      </c>
      <c r="L467" s="1" t="str">
        <f>IF(F467="UNSOLD",COUNTIF($F$4:F467,"UNSOLD"),"")</f>
        <v/>
      </c>
      <c r="M467" s="1" t="str">
        <f>IF(AND(F467="SOLD",G467='Team View'!$B$3),COUNTIFS($F$4:F467,"SOLD",$G$4:G467,'Team View'!$B$3),"")</f>
        <v/>
      </c>
    </row>
    <row r="468" spans="1:13">
      <c r="A468" s="1" t="str">
        <f t="shared" si="7"/>
        <v/>
      </c>
      <c r="B468" s="1"/>
      <c r="C468" s="1"/>
      <c r="D468" s="1"/>
      <c r="E468" s="7"/>
      <c r="F468" s="1"/>
      <c r="G468" s="1"/>
      <c r="H468" s="7"/>
      <c r="I468" s="1"/>
      <c r="J468" s="1" t="str">
        <f>IF(B468="","",IF(F468&lt;&gt;"SOLD","",IF(OR(G468="",H468=""),"SELECT TEAM &amp; PRICE",IFERROR(IF(H468&gt;INDEX(Teams!$B$4:$B$13,MATCH(G468,Teams!$A$4:$A$13,0))-SUMIFS($H$4:$H$503,$G$4:$G$503,G468,$F$4:$F$503,"SOLD",$A$4:$A$503,"&lt;&gt;"&amp;A468),"OVER BUDGET","OK"),"INVALID TEAM"))))</f>
        <v/>
      </c>
      <c r="K468" s="1" t="str">
        <f>IF(F468="SOLD",COUNTIF($F$4:F468,"SOLD"),"")</f>
        <v/>
      </c>
      <c r="L468" s="1" t="str">
        <f>IF(F468="UNSOLD",COUNTIF($F$4:F468,"UNSOLD"),"")</f>
        <v/>
      </c>
      <c r="M468" s="1" t="str">
        <f>IF(AND(F468="SOLD",G468='Team View'!$B$3),COUNTIFS($F$4:F468,"SOLD",$G$4:G468,'Team View'!$B$3),"")</f>
        <v/>
      </c>
    </row>
    <row r="469" spans="1:13">
      <c r="A469" s="1" t="str">
        <f t="shared" si="7"/>
        <v/>
      </c>
      <c r="B469" s="1"/>
      <c r="C469" s="1"/>
      <c r="D469" s="1"/>
      <c r="E469" s="7"/>
      <c r="F469" s="1"/>
      <c r="G469" s="1"/>
      <c r="H469" s="7"/>
      <c r="I469" s="1"/>
      <c r="J469" s="1" t="str">
        <f>IF(B469="","",IF(F469&lt;&gt;"SOLD","",IF(OR(G469="",H469=""),"SELECT TEAM &amp; PRICE",IFERROR(IF(H469&gt;INDEX(Teams!$B$4:$B$13,MATCH(G469,Teams!$A$4:$A$13,0))-SUMIFS($H$4:$H$503,$G$4:$G$503,G469,$F$4:$F$503,"SOLD",$A$4:$A$503,"&lt;&gt;"&amp;A469),"OVER BUDGET","OK"),"INVALID TEAM"))))</f>
        <v/>
      </c>
      <c r="K469" s="1" t="str">
        <f>IF(F469="SOLD",COUNTIF($F$4:F469,"SOLD"),"")</f>
        <v/>
      </c>
      <c r="L469" s="1" t="str">
        <f>IF(F469="UNSOLD",COUNTIF($F$4:F469,"UNSOLD"),"")</f>
        <v/>
      </c>
      <c r="M469" s="1" t="str">
        <f>IF(AND(F469="SOLD",G469='Team View'!$B$3),COUNTIFS($F$4:F469,"SOLD",$G$4:G469,'Team View'!$B$3),"")</f>
        <v/>
      </c>
    </row>
    <row r="470" spans="1:13">
      <c r="A470" s="1" t="str">
        <f t="shared" si="7"/>
        <v/>
      </c>
      <c r="B470" s="1"/>
      <c r="C470" s="1"/>
      <c r="D470" s="1"/>
      <c r="E470" s="7"/>
      <c r="F470" s="1"/>
      <c r="G470" s="1"/>
      <c r="H470" s="7"/>
      <c r="I470" s="1"/>
      <c r="J470" s="1" t="str">
        <f>IF(B470="","",IF(F470&lt;&gt;"SOLD","",IF(OR(G470="",H470=""),"SELECT TEAM &amp; PRICE",IFERROR(IF(H470&gt;INDEX(Teams!$B$4:$B$13,MATCH(G470,Teams!$A$4:$A$13,0))-SUMIFS($H$4:$H$503,$G$4:$G$503,G470,$F$4:$F$503,"SOLD",$A$4:$A$503,"&lt;&gt;"&amp;A470),"OVER BUDGET","OK"),"INVALID TEAM"))))</f>
        <v/>
      </c>
      <c r="K470" s="1" t="str">
        <f>IF(F470="SOLD",COUNTIF($F$4:F470,"SOLD"),"")</f>
        <v/>
      </c>
      <c r="L470" s="1" t="str">
        <f>IF(F470="UNSOLD",COUNTIF($F$4:F470,"UNSOLD"),"")</f>
        <v/>
      </c>
      <c r="M470" s="1" t="str">
        <f>IF(AND(F470="SOLD",G470='Team View'!$B$3),COUNTIFS($F$4:F470,"SOLD",$G$4:G470,'Team View'!$B$3),"")</f>
        <v/>
      </c>
    </row>
    <row r="471" spans="1:13">
      <c r="A471" s="1" t="str">
        <f t="shared" si="7"/>
        <v/>
      </c>
      <c r="B471" s="1"/>
      <c r="C471" s="1"/>
      <c r="D471" s="1"/>
      <c r="E471" s="7"/>
      <c r="F471" s="1"/>
      <c r="G471" s="1"/>
      <c r="H471" s="7"/>
      <c r="I471" s="1"/>
      <c r="J471" s="1" t="str">
        <f>IF(B471="","",IF(F471&lt;&gt;"SOLD","",IF(OR(G471="",H471=""),"SELECT TEAM &amp; PRICE",IFERROR(IF(H471&gt;INDEX(Teams!$B$4:$B$13,MATCH(G471,Teams!$A$4:$A$13,0))-SUMIFS($H$4:$H$503,$G$4:$G$503,G471,$F$4:$F$503,"SOLD",$A$4:$A$503,"&lt;&gt;"&amp;A471),"OVER BUDGET","OK"),"INVALID TEAM"))))</f>
        <v/>
      </c>
      <c r="K471" s="1" t="str">
        <f>IF(F471="SOLD",COUNTIF($F$4:F471,"SOLD"),"")</f>
        <v/>
      </c>
      <c r="L471" s="1" t="str">
        <f>IF(F471="UNSOLD",COUNTIF($F$4:F471,"UNSOLD"),"")</f>
        <v/>
      </c>
      <c r="M471" s="1" t="str">
        <f>IF(AND(F471="SOLD",G471='Team View'!$B$3),COUNTIFS($F$4:F471,"SOLD",$G$4:G471,'Team View'!$B$3),"")</f>
        <v/>
      </c>
    </row>
    <row r="472" spans="1:13">
      <c r="A472" s="1" t="str">
        <f t="shared" si="7"/>
        <v/>
      </c>
      <c r="B472" s="1"/>
      <c r="C472" s="1"/>
      <c r="D472" s="1"/>
      <c r="E472" s="7"/>
      <c r="F472" s="1"/>
      <c r="G472" s="1"/>
      <c r="H472" s="7"/>
      <c r="I472" s="1"/>
      <c r="J472" s="1" t="str">
        <f>IF(B472="","",IF(F472&lt;&gt;"SOLD","",IF(OR(G472="",H472=""),"SELECT TEAM &amp; PRICE",IFERROR(IF(H472&gt;INDEX(Teams!$B$4:$B$13,MATCH(G472,Teams!$A$4:$A$13,0))-SUMIFS($H$4:$H$503,$G$4:$G$503,G472,$F$4:$F$503,"SOLD",$A$4:$A$503,"&lt;&gt;"&amp;A472),"OVER BUDGET","OK"),"INVALID TEAM"))))</f>
        <v/>
      </c>
      <c r="K472" s="1" t="str">
        <f>IF(F472="SOLD",COUNTIF($F$4:F472,"SOLD"),"")</f>
        <v/>
      </c>
      <c r="L472" s="1" t="str">
        <f>IF(F472="UNSOLD",COUNTIF($F$4:F472,"UNSOLD"),"")</f>
        <v/>
      </c>
      <c r="M472" s="1" t="str">
        <f>IF(AND(F472="SOLD",G472='Team View'!$B$3),COUNTIFS($F$4:F472,"SOLD",$G$4:G472,'Team View'!$B$3),"")</f>
        <v/>
      </c>
    </row>
    <row r="473" spans="1:13">
      <c r="A473" s="1" t="str">
        <f t="shared" si="7"/>
        <v/>
      </c>
      <c r="B473" s="1"/>
      <c r="C473" s="1"/>
      <c r="D473" s="1"/>
      <c r="E473" s="7"/>
      <c r="F473" s="1"/>
      <c r="G473" s="1"/>
      <c r="H473" s="7"/>
      <c r="I473" s="1"/>
      <c r="J473" s="1" t="str">
        <f>IF(B473="","",IF(F473&lt;&gt;"SOLD","",IF(OR(G473="",H473=""),"SELECT TEAM &amp; PRICE",IFERROR(IF(H473&gt;INDEX(Teams!$B$4:$B$13,MATCH(G473,Teams!$A$4:$A$13,0))-SUMIFS($H$4:$H$503,$G$4:$G$503,G473,$F$4:$F$503,"SOLD",$A$4:$A$503,"&lt;&gt;"&amp;A473),"OVER BUDGET","OK"),"INVALID TEAM"))))</f>
        <v/>
      </c>
      <c r="K473" s="1" t="str">
        <f>IF(F473="SOLD",COUNTIF($F$4:F473,"SOLD"),"")</f>
        <v/>
      </c>
      <c r="L473" s="1" t="str">
        <f>IF(F473="UNSOLD",COUNTIF($F$4:F473,"UNSOLD"),"")</f>
        <v/>
      </c>
      <c r="M473" s="1" t="str">
        <f>IF(AND(F473="SOLD",G473='Team View'!$B$3),COUNTIFS($F$4:F473,"SOLD",$G$4:G473,'Team View'!$B$3),"")</f>
        <v/>
      </c>
    </row>
    <row r="474" spans="1:13">
      <c r="A474" s="1" t="str">
        <f t="shared" si="7"/>
        <v/>
      </c>
      <c r="B474" s="1"/>
      <c r="C474" s="1"/>
      <c r="D474" s="1"/>
      <c r="E474" s="7"/>
      <c r="F474" s="1"/>
      <c r="G474" s="1"/>
      <c r="H474" s="7"/>
      <c r="I474" s="1"/>
      <c r="J474" s="1" t="str">
        <f>IF(B474="","",IF(F474&lt;&gt;"SOLD","",IF(OR(G474="",H474=""),"SELECT TEAM &amp; PRICE",IFERROR(IF(H474&gt;INDEX(Teams!$B$4:$B$13,MATCH(G474,Teams!$A$4:$A$13,0))-SUMIFS($H$4:$H$503,$G$4:$G$503,G474,$F$4:$F$503,"SOLD",$A$4:$A$503,"&lt;&gt;"&amp;A474),"OVER BUDGET","OK"),"INVALID TEAM"))))</f>
        <v/>
      </c>
      <c r="K474" s="1" t="str">
        <f>IF(F474="SOLD",COUNTIF($F$4:F474,"SOLD"),"")</f>
        <v/>
      </c>
      <c r="L474" s="1" t="str">
        <f>IF(F474="UNSOLD",COUNTIF($F$4:F474,"UNSOLD"),"")</f>
        <v/>
      </c>
      <c r="M474" s="1" t="str">
        <f>IF(AND(F474="SOLD",G474='Team View'!$B$3),COUNTIFS($F$4:F474,"SOLD",$G$4:G474,'Team View'!$B$3),"")</f>
        <v/>
      </c>
    </row>
    <row r="475" spans="1:13">
      <c r="A475" s="1" t="str">
        <f t="shared" si="7"/>
        <v/>
      </c>
      <c r="B475" s="1"/>
      <c r="C475" s="1"/>
      <c r="D475" s="1"/>
      <c r="E475" s="7"/>
      <c r="F475" s="1"/>
      <c r="G475" s="1"/>
      <c r="H475" s="7"/>
      <c r="I475" s="1"/>
      <c r="J475" s="1" t="str">
        <f>IF(B475="","",IF(F475&lt;&gt;"SOLD","",IF(OR(G475="",H475=""),"SELECT TEAM &amp; PRICE",IFERROR(IF(H475&gt;INDEX(Teams!$B$4:$B$13,MATCH(G475,Teams!$A$4:$A$13,0))-SUMIFS($H$4:$H$503,$G$4:$G$503,G475,$F$4:$F$503,"SOLD",$A$4:$A$503,"&lt;&gt;"&amp;A475),"OVER BUDGET","OK"),"INVALID TEAM"))))</f>
        <v/>
      </c>
      <c r="K475" s="1" t="str">
        <f>IF(F475="SOLD",COUNTIF($F$4:F475,"SOLD"),"")</f>
        <v/>
      </c>
      <c r="L475" s="1" t="str">
        <f>IF(F475="UNSOLD",COUNTIF($F$4:F475,"UNSOLD"),"")</f>
        <v/>
      </c>
      <c r="M475" s="1" t="str">
        <f>IF(AND(F475="SOLD",G475='Team View'!$B$3),COUNTIFS($F$4:F475,"SOLD",$G$4:G475,'Team View'!$B$3),"")</f>
        <v/>
      </c>
    </row>
    <row r="476" spans="1:13">
      <c r="A476" s="1" t="str">
        <f t="shared" si="7"/>
        <v/>
      </c>
      <c r="B476" s="1"/>
      <c r="C476" s="1"/>
      <c r="D476" s="1"/>
      <c r="E476" s="7"/>
      <c r="F476" s="1"/>
      <c r="G476" s="1"/>
      <c r="H476" s="7"/>
      <c r="I476" s="1"/>
      <c r="J476" s="1" t="str">
        <f>IF(B476="","",IF(F476&lt;&gt;"SOLD","",IF(OR(G476="",H476=""),"SELECT TEAM &amp; PRICE",IFERROR(IF(H476&gt;INDEX(Teams!$B$4:$B$13,MATCH(G476,Teams!$A$4:$A$13,0))-SUMIFS($H$4:$H$503,$G$4:$G$503,G476,$F$4:$F$503,"SOLD",$A$4:$A$503,"&lt;&gt;"&amp;A476),"OVER BUDGET","OK"),"INVALID TEAM"))))</f>
        <v/>
      </c>
      <c r="K476" s="1" t="str">
        <f>IF(F476="SOLD",COUNTIF($F$4:F476,"SOLD"),"")</f>
        <v/>
      </c>
      <c r="L476" s="1" t="str">
        <f>IF(F476="UNSOLD",COUNTIF($F$4:F476,"UNSOLD"),"")</f>
        <v/>
      </c>
      <c r="M476" s="1" t="str">
        <f>IF(AND(F476="SOLD",G476='Team View'!$B$3),COUNTIFS($F$4:F476,"SOLD",$G$4:G476,'Team View'!$B$3),"")</f>
        <v/>
      </c>
    </row>
    <row r="477" spans="1:13">
      <c r="A477" s="1" t="str">
        <f t="shared" si="7"/>
        <v/>
      </c>
      <c r="B477" s="1"/>
      <c r="C477" s="1"/>
      <c r="D477" s="1"/>
      <c r="E477" s="7"/>
      <c r="F477" s="1"/>
      <c r="G477" s="1"/>
      <c r="H477" s="7"/>
      <c r="I477" s="1"/>
      <c r="J477" s="1" t="str">
        <f>IF(B477="","",IF(F477&lt;&gt;"SOLD","",IF(OR(G477="",H477=""),"SELECT TEAM &amp; PRICE",IFERROR(IF(H477&gt;INDEX(Teams!$B$4:$B$13,MATCH(G477,Teams!$A$4:$A$13,0))-SUMIFS($H$4:$H$503,$G$4:$G$503,G477,$F$4:$F$503,"SOLD",$A$4:$A$503,"&lt;&gt;"&amp;A477),"OVER BUDGET","OK"),"INVALID TEAM"))))</f>
        <v/>
      </c>
      <c r="K477" s="1" t="str">
        <f>IF(F477="SOLD",COUNTIF($F$4:F477,"SOLD"),"")</f>
        <v/>
      </c>
      <c r="L477" s="1" t="str">
        <f>IF(F477="UNSOLD",COUNTIF($F$4:F477,"UNSOLD"),"")</f>
        <v/>
      </c>
      <c r="M477" s="1" t="str">
        <f>IF(AND(F477="SOLD",G477='Team View'!$B$3),COUNTIFS($F$4:F477,"SOLD",$G$4:G477,'Team View'!$B$3),"")</f>
        <v/>
      </c>
    </row>
    <row r="478" spans="1:13">
      <c r="A478" s="1" t="str">
        <f t="shared" si="7"/>
        <v/>
      </c>
      <c r="B478" s="1"/>
      <c r="C478" s="1"/>
      <c r="D478" s="1"/>
      <c r="E478" s="7"/>
      <c r="F478" s="1"/>
      <c r="G478" s="1"/>
      <c r="H478" s="7"/>
      <c r="I478" s="1"/>
      <c r="J478" s="1" t="str">
        <f>IF(B478="","",IF(F478&lt;&gt;"SOLD","",IF(OR(G478="",H478=""),"SELECT TEAM &amp; PRICE",IFERROR(IF(H478&gt;INDEX(Teams!$B$4:$B$13,MATCH(G478,Teams!$A$4:$A$13,0))-SUMIFS($H$4:$H$503,$G$4:$G$503,G478,$F$4:$F$503,"SOLD",$A$4:$A$503,"&lt;&gt;"&amp;A478),"OVER BUDGET","OK"),"INVALID TEAM"))))</f>
        <v/>
      </c>
      <c r="K478" s="1" t="str">
        <f>IF(F478="SOLD",COUNTIF($F$4:F478,"SOLD"),"")</f>
        <v/>
      </c>
      <c r="L478" s="1" t="str">
        <f>IF(F478="UNSOLD",COUNTIF($F$4:F478,"UNSOLD"),"")</f>
        <v/>
      </c>
      <c r="M478" s="1" t="str">
        <f>IF(AND(F478="SOLD",G478='Team View'!$B$3),COUNTIFS($F$4:F478,"SOLD",$G$4:G478,'Team View'!$B$3),"")</f>
        <v/>
      </c>
    </row>
    <row r="479" spans="1:13">
      <c r="A479" s="1" t="str">
        <f t="shared" si="7"/>
        <v/>
      </c>
      <c r="B479" s="1"/>
      <c r="C479" s="1"/>
      <c r="D479" s="1"/>
      <c r="E479" s="7"/>
      <c r="F479" s="1"/>
      <c r="G479" s="1"/>
      <c r="H479" s="7"/>
      <c r="I479" s="1"/>
      <c r="J479" s="1" t="str">
        <f>IF(B479="","",IF(F479&lt;&gt;"SOLD","",IF(OR(G479="",H479=""),"SELECT TEAM &amp; PRICE",IFERROR(IF(H479&gt;INDEX(Teams!$B$4:$B$13,MATCH(G479,Teams!$A$4:$A$13,0))-SUMIFS($H$4:$H$503,$G$4:$G$503,G479,$F$4:$F$503,"SOLD",$A$4:$A$503,"&lt;&gt;"&amp;A479),"OVER BUDGET","OK"),"INVALID TEAM"))))</f>
        <v/>
      </c>
      <c r="K479" s="1" t="str">
        <f>IF(F479="SOLD",COUNTIF($F$4:F479,"SOLD"),"")</f>
        <v/>
      </c>
      <c r="L479" s="1" t="str">
        <f>IF(F479="UNSOLD",COUNTIF($F$4:F479,"UNSOLD"),"")</f>
        <v/>
      </c>
      <c r="M479" s="1" t="str">
        <f>IF(AND(F479="SOLD",G479='Team View'!$B$3),COUNTIFS($F$4:F479,"SOLD",$G$4:G479,'Team View'!$B$3),"")</f>
        <v/>
      </c>
    </row>
    <row r="480" spans="1:13">
      <c r="A480" s="1" t="str">
        <f t="shared" si="7"/>
        <v/>
      </c>
      <c r="B480" s="1"/>
      <c r="C480" s="1"/>
      <c r="D480" s="1"/>
      <c r="E480" s="7"/>
      <c r="F480" s="1"/>
      <c r="G480" s="1"/>
      <c r="H480" s="7"/>
      <c r="I480" s="1"/>
      <c r="J480" s="1" t="str">
        <f>IF(B480="","",IF(F480&lt;&gt;"SOLD","",IF(OR(G480="",H480=""),"SELECT TEAM &amp; PRICE",IFERROR(IF(H480&gt;INDEX(Teams!$B$4:$B$13,MATCH(G480,Teams!$A$4:$A$13,0))-SUMIFS($H$4:$H$503,$G$4:$G$503,G480,$F$4:$F$503,"SOLD",$A$4:$A$503,"&lt;&gt;"&amp;A480),"OVER BUDGET","OK"),"INVALID TEAM"))))</f>
        <v/>
      </c>
      <c r="K480" s="1" t="str">
        <f>IF(F480="SOLD",COUNTIF($F$4:F480,"SOLD"),"")</f>
        <v/>
      </c>
      <c r="L480" s="1" t="str">
        <f>IF(F480="UNSOLD",COUNTIF($F$4:F480,"UNSOLD"),"")</f>
        <v/>
      </c>
      <c r="M480" s="1" t="str">
        <f>IF(AND(F480="SOLD",G480='Team View'!$B$3),COUNTIFS($F$4:F480,"SOLD",$G$4:G480,'Team View'!$B$3),"")</f>
        <v/>
      </c>
    </row>
    <row r="481" spans="1:13">
      <c r="A481" s="1" t="str">
        <f t="shared" si="7"/>
        <v/>
      </c>
      <c r="B481" s="1"/>
      <c r="C481" s="1"/>
      <c r="D481" s="1"/>
      <c r="E481" s="7"/>
      <c r="F481" s="1"/>
      <c r="G481" s="1"/>
      <c r="H481" s="7"/>
      <c r="I481" s="1"/>
      <c r="J481" s="1" t="str">
        <f>IF(B481="","",IF(F481&lt;&gt;"SOLD","",IF(OR(G481="",H481=""),"SELECT TEAM &amp; PRICE",IFERROR(IF(H481&gt;INDEX(Teams!$B$4:$B$13,MATCH(G481,Teams!$A$4:$A$13,0))-SUMIFS($H$4:$H$503,$G$4:$G$503,G481,$F$4:$F$503,"SOLD",$A$4:$A$503,"&lt;&gt;"&amp;A481),"OVER BUDGET","OK"),"INVALID TEAM"))))</f>
        <v/>
      </c>
      <c r="K481" s="1" t="str">
        <f>IF(F481="SOLD",COUNTIF($F$4:F481,"SOLD"),"")</f>
        <v/>
      </c>
      <c r="L481" s="1" t="str">
        <f>IF(F481="UNSOLD",COUNTIF($F$4:F481,"UNSOLD"),"")</f>
        <v/>
      </c>
      <c r="M481" s="1" t="str">
        <f>IF(AND(F481="SOLD",G481='Team View'!$B$3),COUNTIFS($F$4:F481,"SOLD",$G$4:G481,'Team View'!$B$3),"")</f>
        <v/>
      </c>
    </row>
    <row r="482" spans="1:13">
      <c r="A482" s="1" t="str">
        <f t="shared" si="7"/>
        <v/>
      </c>
      <c r="B482" s="1"/>
      <c r="C482" s="1"/>
      <c r="D482" s="1"/>
      <c r="E482" s="7"/>
      <c r="F482" s="1"/>
      <c r="G482" s="1"/>
      <c r="H482" s="7"/>
      <c r="I482" s="1"/>
      <c r="J482" s="1" t="str">
        <f>IF(B482="","",IF(F482&lt;&gt;"SOLD","",IF(OR(G482="",H482=""),"SELECT TEAM &amp; PRICE",IFERROR(IF(H482&gt;INDEX(Teams!$B$4:$B$13,MATCH(G482,Teams!$A$4:$A$13,0))-SUMIFS($H$4:$H$503,$G$4:$G$503,G482,$F$4:$F$503,"SOLD",$A$4:$A$503,"&lt;&gt;"&amp;A482),"OVER BUDGET","OK"),"INVALID TEAM"))))</f>
        <v/>
      </c>
      <c r="K482" s="1" t="str">
        <f>IF(F482="SOLD",COUNTIF($F$4:F482,"SOLD"),"")</f>
        <v/>
      </c>
      <c r="L482" s="1" t="str">
        <f>IF(F482="UNSOLD",COUNTIF($F$4:F482,"UNSOLD"),"")</f>
        <v/>
      </c>
      <c r="M482" s="1" t="str">
        <f>IF(AND(F482="SOLD",G482='Team View'!$B$3),COUNTIFS($F$4:F482,"SOLD",$G$4:G482,'Team View'!$B$3),"")</f>
        <v/>
      </c>
    </row>
    <row r="483" spans="1:13">
      <c r="A483" s="1" t="str">
        <f t="shared" si="7"/>
        <v/>
      </c>
      <c r="B483" s="1"/>
      <c r="C483" s="1"/>
      <c r="D483" s="1"/>
      <c r="E483" s="7"/>
      <c r="F483" s="1"/>
      <c r="G483" s="1"/>
      <c r="H483" s="7"/>
      <c r="I483" s="1"/>
      <c r="J483" s="1" t="str">
        <f>IF(B483="","",IF(F483&lt;&gt;"SOLD","",IF(OR(G483="",H483=""),"SELECT TEAM &amp; PRICE",IFERROR(IF(H483&gt;INDEX(Teams!$B$4:$B$13,MATCH(G483,Teams!$A$4:$A$13,0))-SUMIFS($H$4:$H$503,$G$4:$G$503,G483,$F$4:$F$503,"SOLD",$A$4:$A$503,"&lt;&gt;"&amp;A483),"OVER BUDGET","OK"),"INVALID TEAM"))))</f>
        <v/>
      </c>
      <c r="K483" s="1" t="str">
        <f>IF(F483="SOLD",COUNTIF($F$4:F483,"SOLD"),"")</f>
        <v/>
      </c>
      <c r="L483" s="1" t="str">
        <f>IF(F483="UNSOLD",COUNTIF($F$4:F483,"UNSOLD"),"")</f>
        <v/>
      </c>
      <c r="M483" s="1" t="str">
        <f>IF(AND(F483="SOLD",G483='Team View'!$B$3),COUNTIFS($F$4:F483,"SOLD",$G$4:G483,'Team View'!$B$3),"")</f>
        <v/>
      </c>
    </row>
    <row r="484" spans="1:13">
      <c r="A484" s="1" t="str">
        <f t="shared" si="7"/>
        <v/>
      </c>
      <c r="B484" s="1"/>
      <c r="C484" s="1"/>
      <c r="D484" s="1"/>
      <c r="E484" s="7"/>
      <c r="F484" s="1"/>
      <c r="G484" s="1"/>
      <c r="H484" s="7"/>
      <c r="I484" s="1"/>
      <c r="J484" s="1" t="str">
        <f>IF(B484="","",IF(F484&lt;&gt;"SOLD","",IF(OR(G484="",H484=""),"SELECT TEAM &amp; PRICE",IFERROR(IF(H484&gt;INDEX(Teams!$B$4:$B$13,MATCH(G484,Teams!$A$4:$A$13,0))-SUMIFS($H$4:$H$503,$G$4:$G$503,G484,$F$4:$F$503,"SOLD",$A$4:$A$503,"&lt;&gt;"&amp;A484),"OVER BUDGET","OK"),"INVALID TEAM"))))</f>
        <v/>
      </c>
      <c r="K484" s="1" t="str">
        <f>IF(F484="SOLD",COUNTIF($F$4:F484,"SOLD"),"")</f>
        <v/>
      </c>
      <c r="L484" s="1" t="str">
        <f>IF(F484="UNSOLD",COUNTIF($F$4:F484,"UNSOLD"),"")</f>
        <v/>
      </c>
      <c r="M484" s="1" t="str">
        <f>IF(AND(F484="SOLD",G484='Team View'!$B$3),COUNTIFS($F$4:F484,"SOLD",$G$4:G484,'Team View'!$B$3),"")</f>
        <v/>
      </c>
    </row>
    <row r="485" spans="1:13">
      <c r="A485" s="1" t="str">
        <f t="shared" si="7"/>
        <v/>
      </c>
      <c r="B485" s="1"/>
      <c r="C485" s="1"/>
      <c r="D485" s="1"/>
      <c r="E485" s="7"/>
      <c r="F485" s="1"/>
      <c r="G485" s="1"/>
      <c r="H485" s="7"/>
      <c r="I485" s="1"/>
      <c r="J485" s="1" t="str">
        <f>IF(B485="","",IF(F485&lt;&gt;"SOLD","",IF(OR(G485="",H485=""),"SELECT TEAM &amp; PRICE",IFERROR(IF(H485&gt;INDEX(Teams!$B$4:$B$13,MATCH(G485,Teams!$A$4:$A$13,0))-SUMIFS($H$4:$H$503,$G$4:$G$503,G485,$F$4:$F$503,"SOLD",$A$4:$A$503,"&lt;&gt;"&amp;A485),"OVER BUDGET","OK"),"INVALID TEAM"))))</f>
        <v/>
      </c>
      <c r="K485" s="1" t="str">
        <f>IF(F485="SOLD",COUNTIF($F$4:F485,"SOLD"),"")</f>
        <v/>
      </c>
      <c r="L485" s="1" t="str">
        <f>IF(F485="UNSOLD",COUNTIF($F$4:F485,"UNSOLD"),"")</f>
        <v/>
      </c>
      <c r="M485" s="1" t="str">
        <f>IF(AND(F485="SOLD",G485='Team View'!$B$3),COUNTIFS($F$4:F485,"SOLD",$G$4:G485,'Team View'!$B$3),"")</f>
        <v/>
      </c>
    </row>
    <row r="486" spans="1:13">
      <c r="A486" s="1" t="str">
        <f t="shared" si="7"/>
        <v/>
      </c>
      <c r="B486" s="1"/>
      <c r="C486" s="1"/>
      <c r="D486" s="1"/>
      <c r="E486" s="7"/>
      <c r="F486" s="1"/>
      <c r="G486" s="1"/>
      <c r="H486" s="7"/>
      <c r="I486" s="1"/>
      <c r="J486" s="1" t="str">
        <f>IF(B486="","",IF(F486&lt;&gt;"SOLD","",IF(OR(G486="",H486=""),"SELECT TEAM &amp; PRICE",IFERROR(IF(H486&gt;INDEX(Teams!$B$4:$B$13,MATCH(G486,Teams!$A$4:$A$13,0))-SUMIFS($H$4:$H$503,$G$4:$G$503,G486,$F$4:$F$503,"SOLD",$A$4:$A$503,"&lt;&gt;"&amp;A486),"OVER BUDGET","OK"),"INVALID TEAM"))))</f>
        <v/>
      </c>
      <c r="K486" s="1" t="str">
        <f>IF(F486="SOLD",COUNTIF($F$4:F486,"SOLD"),"")</f>
        <v/>
      </c>
      <c r="L486" s="1" t="str">
        <f>IF(F486="UNSOLD",COUNTIF($F$4:F486,"UNSOLD"),"")</f>
        <v/>
      </c>
      <c r="M486" s="1" t="str">
        <f>IF(AND(F486="SOLD",G486='Team View'!$B$3),COUNTIFS($F$4:F486,"SOLD",$G$4:G486,'Team View'!$B$3),"")</f>
        <v/>
      </c>
    </row>
    <row r="487" spans="1:13">
      <c r="A487" s="1" t="str">
        <f t="shared" si="7"/>
        <v/>
      </c>
      <c r="B487" s="1"/>
      <c r="C487" s="1"/>
      <c r="D487" s="1"/>
      <c r="E487" s="7"/>
      <c r="F487" s="1"/>
      <c r="G487" s="1"/>
      <c r="H487" s="7"/>
      <c r="I487" s="1"/>
      <c r="J487" s="1" t="str">
        <f>IF(B487="","",IF(F487&lt;&gt;"SOLD","",IF(OR(G487="",H487=""),"SELECT TEAM &amp; PRICE",IFERROR(IF(H487&gt;INDEX(Teams!$B$4:$B$13,MATCH(G487,Teams!$A$4:$A$13,0))-SUMIFS($H$4:$H$503,$G$4:$G$503,G487,$F$4:$F$503,"SOLD",$A$4:$A$503,"&lt;&gt;"&amp;A487),"OVER BUDGET","OK"),"INVALID TEAM"))))</f>
        <v/>
      </c>
      <c r="K487" s="1" t="str">
        <f>IF(F487="SOLD",COUNTIF($F$4:F487,"SOLD"),"")</f>
        <v/>
      </c>
      <c r="L487" s="1" t="str">
        <f>IF(F487="UNSOLD",COUNTIF($F$4:F487,"UNSOLD"),"")</f>
        <v/>
      </c>
      <c r="M487" s="1" t="str">
        <f>IF(AND(F487="SOLD",G487='Team View'!$B$3),COUNTIFS($F$4:F487,"SOLD",$G$4:G487,'Team View'!$B$3),"")</f>
        <v/>
      </c>
    </row>
    <row r="488" spans="1:13">
      <c r="A488" s="1" t="str">
        <f t="shared" si="7"/>
        <v/>
      </c>
      <c r="B488" s="1"/>
      <c r="C488" s="1"/>
      <c r="D488" s="1"/>
      <c r="E488" s="7"/>
      <c r="F488" s="1"/>
      <c r="G488" s="1"/>
      <c r="H488" s="7"/>
      <c r="I488" s="1"/>
      <c r="J488" s="1" t="str">
        <f>IF(B488="","",IF(F488&lt;&gt;"SOLD","",IF(OR(G488="",H488=""),"SELECT TEAM &amp; PRICE",IFERROR(IF(H488&gt;INDEX(Teams!$B$4:$B$13,MATCH(G488,Teams!$A$4:$A$13,0))-SUMIFS($H$4:$H$503,$G$4:$G$503,G488,$F$4:$F$503,"SOLD",$A$4:$A$503,"&lt;&gt;"&amp;A488),"OVER BUDGET","OK"),"INVALID TEAM"))))</f>
        <v/>
      </c>
      <c r="K488" s="1" t="str">
        <f>IF(F488="SOLD",COUNTIF($F$4:F488,"SOLD"),"")</f>
        <v/>
      </c>
      <c r="L488" s="1" t="str">
        <f>IF(F488="UNSOLD",COUNTIF($F$4:F488,"UNSOLD"),"")</f>
        <v/>
      </c>
      <c r="M488" s="1" t="str">
        <f>IF(AND(F488="SOLD",G488='Team View'!$B$3),COUNTIFS($F$4:F488,"SOLD",$G$4:G488,'Team View'!$B$3),"")</f>
        <v/>
      </c>
    </row>
    <row r="489" spans="1:13">
      <c r="A489" s="1" t="str">
        <f t="shared" si="7"/>
        <v/>
      </c>
      <c r="B489" s="1"/>
      <c r="C489" s="1"/>
      <c r="D489" s="1"/>
      <c r="E489" s="7"/>
      <c r="F489" s="1"/>
      <c r="G489" s="1"/>
      <c r="H489" s="7"/>
      <c r="I489" s="1"/>
      <c r="J489" s="1" t="str">
        <f>IF(B489="","",IF(F489&lt;&gt;"SOLD","",IF(OR(G489="",H489=""),"SELECT TEAM &amp; PRICE",IFERROR(IF(H489&gt;INDEX(Teams!$B$4:$B$13,MATCH(G489,Teams!$A$4:$A$13,0))-SUMIFS($H$4:$H$503,$G$4:$G$503,G489,$F$4:$F$503,"SOLD",$A$4:$A$503,"&lt;&gt;"&amp;A489),"OVER BUDGET","OK"),"INVALID TEAM"))))</f>
        <v/>
      </c>
      <c r="K489" s="1" t="str">
        <f>IF(F489="SOLD",COUNTIF($F$4:F489,"SOLD"),"")</f>
        <v/>
      </c>
      <c r="L489" s="1" t="str">
        <f>IF(F489="UNSOLD",COUNTIF($F$4:F489,"UNSOLD"),"")</f>
        <v/>
      </c>
      <c r="M489" s="1" t="str">
        <f>IF(AND(F489="SOLD",G489='Team View'!$B$3),COUNTIFS($F$4:F489,"SOLD",$G$4:G489,'Team View'!$B$3),"")</f>
        <v/>
      </c>
    </row>
    <row r="490" spans="1:13">
      <c r="A490" s="1" t="str">
        <f t="shared" si="7"/>
        <v/>
      </c>
      <c r="B490" s="1"/>
      <c r="C490" s="1"/>
      <c r="D490" s="1"/>
      <c r="E490" s="7"/>
      <c r="F490" s="1"/>
      <c r="G490" s="1"/>
      <c r="H490" s="7"/>
      <c r="I490" s="1"/>
      <c r="J490" s="1" t="str">
        <f>IF(B490="","",IF(F490&lt;&gt;"SOLD","",IF(OR(G490="",H490=""),"SELECT TEAM &amp; PRICE",IFERROR(IF(H490&gt;INDEX(Teams!$B$4:$B$13,MATCH(G490,Teams!$A$4:$A$13,0))-SUMIFS($H$4:$H$503,$G$4:$G$503,G490,$F$4:$F$503,"SOLD",$A$4:$A$503,"&lt;&gt;"&amp;A490),"OVER BUDGET","OK"),"INVALID TEAM"))))</f>
        <v/>
      </c>
      <c r="K490" s="1" t="str">
        <f>IF(F490="SOLD",COUNTIF($F$4:F490,"SOLD"),"")</f>
        <v/>
      </c>
      <c r="L490" s="1" t="str">
        <f>IF(F490="UNSOLD",COUNTIF($F$4:F490,"UNSOLD"),"")</f>
        <v/>
      </c>
      <c r="M490" s="1" t="str">
        <f>IF(AND(F490="SOLD",G490='Team View'!$B$3),COUNTIFS($F$4:F490,"SOLD",$G$4:G490,'Team View'!$B$3),"")</f>
        <v/>
      </c>
    </row>
    <row r="491" spans="1:13">
      <c r="A491" s="1" t="str">
        <f t="shared" si="7"/>
        <v/>
      </c>
      <c r="B491" s="1"/>
      <c r="C491" s="1"/>
      <c r="D491" s="1"/>
      <c r="E491" s="7"/>
      <c r="F491" s="1"/>
      <c r="G491" s="1"/>
      <c r="H491" s="7"/>
      <c r="I491" s="1"/>
      <c r="J491" s="1" t="str">
        <f>IF(B491="","",IF(F491&lt;&gt;"SOLD","",IF(OR(G491="",H491=""),"SELECT TEAM &amp; PRICE",IFERROR(IF(H491&gt;INDEX(Teams!$B$4:$B$13,MATCH(G491,Teams!$A$4:$A$13,0))-SUMIFS($H$4:$H$503,$G$4:$G$503,G491,$F$4:$F$503,"SOLD",$A$4:$A$503,"&lt;&gt;"&amp;A491),"OVER BUDGET","OK"),"INVALID TEAM"))))</f>
        <v/>
      </c>
      <c r="K491" s="1" t="str">
        <f>IF(F491="SOLD",COUNTIF($F$4:F491,"SOLD"),"")</f>
        <v/>
      </c>
      <c r="L491" s="1" t="str">
        <f>IF(F491="UNSOLD",COUNTIF($F$4:F491,"UNSOLD"),"")</f>
        <v/>
      </c>
      <c r="M491" s="1" t="str">
        <f>IF(AND(F491="SOLD",G491='Team View'!$B$3),COUNTIFS($F$4:F491,"SOLD",$G$4:G491,'Team View'!$B$3),"")</f>
        <v/>
      </c>
    </row>
    <row r="492" spans="1:13">
      <c r="A492" s="1" t="str">
        <f t="shared" si="7"/>
        <v/>
      </c>
      <c r="B492" s="1"/>
      <c r="C492" s="1"/>
      <c r="D492" s="1"/>
      <c r="E492" s="7"/>
      <c r="F492" s="1"/>
      <c r="G492" s="1"/>
      <c r="H492" s="7"/>
      <c r="I492" s="1"/>
      <c r="J492" s="1" t="str">
        <f>IF(B492="","",IF(F492&lt;&gt;"SOLD","",IF(OR(G492="",H492=""),"SELECT TEAM &amp; PRICE",IFERROR(IF(H492&gt;INDEX(Teams!$B$4:$B$13,MATCH(G492,Teams!$A$4:$A$13,0))-SUMIFS($H$4:$H$503,$G$4:$G$503,G492,$F$4:$F$503,"SOLD",$A$4:$A$503,"&lt;&gt;"&amp;A492),"OVER BUDGET","OK"),"INVALID TEAM"))))</f>
        <v/>
      </c>
      <c r="K492" s="1" t="str">
        <f>IF(F492="SOLD",COUNTIF($F$4:F492,"SOLD"),"")</f>
        <v/>
      </c>
      <c r="L492" s="1" t="str">
        <f>IF(F492="UNSOLD",COUNTIF($F$4:F492,"UNSOLD"),"")</f>
        <v/>
      </c>
      <c r="M492" s="1" t="str">
        <f>IF(AND(F492="SOLD",G492='Team View'!$B$3),COUNTIFS($F$4:F492,"SOLD",$G$4:G492,'Team View'!$B$3),"")</f>
        <v/>
      </c>
    </row>
    <row r="493" spans="1:13">
      <c r="A493" s="1" t="str">
        <f t="shared" si="7"/>
        <v/>
      </c>
      <c r="B493" s="1"/>
      <c r="C493" s="1"/>
      <c r="D493" s="1"/>
      <c r="E493" s="7"/>
      <c r="F493" s="1"/>
      <c r="G493" s="1"/>
      <c r="H493" s="7"/>
      <c r="I493" s="1"/>
      <c r="J493" s="1" t="str">
        <f>IF(B493="","",IF(F493&lt;&gt;"SOLD","",IF(OR(G493="",H493=""),"SELECT TEAM &amp; PRICE",IFERROR(IF(H493&gt;INDEX(Teams!$B$4:$B$13,MATCH(G493,Teams!$A$4:$A$13,0))-SUMIFS($H$4:$H$503,$G$4:$G$503,G493,$F$4:$F$503,"SOLD",$A$4:$A$503,"&lt;&gt;"&amp;A493),"OVER BUDGET","OK"),"INVALID TEAM"))))</f>
        <v/>
      </c>
      <c r="K493" s="1" t="str">
        <f>IF(F493="SOLD",COUNTIF($F$4:F493,"SOLD"),"")</f>
        <v/>
      </c>
      <c r="L493" s="1" t="str">
        <f>IF(F493="UNSOLD",COUNTIF($F$4:F493,"UNSOLD"),"")</f>
        <v/>
      </c>
      <c r="M493" s="1" t="str">
        <f>IF(AND(F493="SOLD",G493='Team View'!$B$3),COUNTIFS($F$4:F493,"SOLD",$G$4:G493,'Team View'!$B$3),"")</f>
        <v/>
      </c>
    </row>
    <row r="494" spans="1:13">
      <c r="A494" s="1" t="str">
        <f t="shared" si="7"/>
        <v/>
      </c>
      <c r="B494" s="1"/>
      <c r="C494" s="1"/>
      <c r="D494" s="1"/>
      <c r="E494" s="7"/>
      <c r="F494" s="1"/>
      <c r="G494" s="1"/>
      <c r="H494" s="7"/>
      <c r="I494" s="1"/>
      <c r="J494" s="1" t="str">
        <f>IF(B494="","",IF(F494&lt;&gt;"SOLD","",IF(OR(G494="",H494=""),"SELECT TEAM &amp; PRICE",IFERROR(IF(H494&gt;INDEX(Teams!$B$4:$B$13,MATCH(G494,Teams!$A$4:$A$13,0))-SUMIFS($H$4:$H$503,$G$4:$G$503,G494,$F$4:$F$503,"SOLD",$A$4:$A$503,"&lt;&gt;"&amp;A494),"OVER BUDGET","OK"),"INVALID TEAM"))))</f>
        <v/>
      </c>
      <c r="K494" s="1" t="str">
        <f>IF(F494="SOLD",COUNTIF($F$4:F494,"SOLD"),"")</f>
        <v/>
      </c>
      <c r="L494" s="1" t="str">
        <f>IF(F494="UNSOLD",COUNTIF($F$4:F494,"UNSOLD"),"")</f>
        <v/>
      </c>
      <c r="M494" s="1" t="str">
        <f>IF(AND(F494="SOLD",G494='Team View'!$B$3),COUNTIFS($F$4:F494,"SOLD",$G$4:G494,'Team View'!$B$3),"")</f>
        <v/>
      </c>
    </row>
    <row r="495" spans="1:13">
      <c r="A495" s="1" t="str">
        <f t="shared" si="7"/>
        <v/>
      </c>
      <c r="B495" s="1"/>
      <c r="C495" s="1"/>
      <c r="D495" s="1"/>
      <c r="E495" s="7"/>
      <c r="F495" s="1"/>
      <c r="G495" s="1"/>
      <c r="H495" s="7"/>
      <c r="I495" s="1"/>
      <c r="J495" s="1" t="str">
        <f>IF(B495="","",IF(F495&lt;&gt;"SOLD","",IF(OR(G495="",H495=""),"SELECT TEAM &amp; PRICE",IFERROR(IF(H495&gt;INDEX(Teams!$B$4:$B$13,MATCH(G495,Teams!$A$4:$A$13,0))-SUMIFS($H$4:$H$503,$G$4:$G$503,G495,$F$4:$F$503,"SOLD",$A$4:$A$503,"&lt;&gt;"&amp;A495),"OVER BUDGET","OK"),"INVALID TEAM"))))</f>
        <v/>
      </c>
      <c r="K495" s="1" t="str">
        <f>IF(F495="SOLD",COUNTIF($F$4:F495,"SOLD"),"")</f>
        <v/>
      </c>
      <c r="L495" s="1" t="str">
        <f>IF(F495="UNSOLD",COUNTIF($F$4:F495,"UNSOLD"),"")</f>
        <v/>
      </c>
      <c r="M495" s="1" t="str">
        <f>IF(AND(F495="SOLD",G495='Team View'!$B$3),COUNTIFS($F$4:F495,"SOLD",$G$4:G495,'Team View'!$B$3),"")</f>
        <v/>
      </c>
    </row>
    <row r="496" spans="1:13">
      <c r="A496" s="1" t="str">
        <f t="shared" si="7"/>
        <v/>
      </c>
      <c r="B496" s="1"/>
      <c r="C496" s="1"/>
      <c r="D496" s="1"/>
      <c r="E496" s="7"/>
      <c r="F496" s="1"/>
      <c r="G496" s="1"/>
      <c r="H496" s="7"/>
      <c r="I496" s="1"/>
      <c r="J496" s="1" t="str">
        <f>IF(B496="","",IF(F496&lt;&gt;"SOLD","",IF(OR(G496="",H496=""),"SELECT TEAM &amp; PRICE",IFERROR(IF(H496&gt;INDEX(Teams!$B$4:$B$13,MATCH(G496,Teams!$A$4:$A$13,0))-SUMIFS($H$4:$H$503,$G$4:$G$503,G496,$F$4:$F$503,"SOLD",$A$4:$A$503,"&lt;&gt;"&amp;A496),"OVER BUDGET","OK"),"INVALID TEAM"))))</f>
        <v/>
      </c>
      <c r="K496" s="1" t="str">
        <f>IF(F496="SOLD",COUNTIF($F$4:F496,"SOLD"),"")</f>
        <v/>
      </c>
      <c r="L496" s="1" t="str">
        <f>IF(F496="UNSOLD",COUNTIF($F$4:F496,"UNSOLD"),"")</f>
        <v/>
      </c>
      <c r="M496" s="1" t="str">
        <f>IF(AND(F496="SOLD",G496='Team View'!$B$3),COUNTIFS($F$4:F496,"SOLD",$G$4:G496,'Team View'!$B$3),"")</f>
        <v/>
      </c>
    </row>
    <row r="497" spans="1:13">
      <c r="A497" s="1" t="str">
        <f t="shared" si="7"/>
        <v/>
      </c>
      <c r="B497" s="1"/>
      <c r="C497" s="1"/>
      <c r="D497" s="1"/>
      <c r="E497" s="7"/>
      <c r="F497" s="1"/>
      <c r="G497" s="1"/>
      <c r="H497" s="7"/>
      <c r="I497" s="1"/>
      <c r="J497" s="1" t="str">
        <f>IF(B497="","",IF(F497&lt;&gt;"SOLD","",IF(OR(G497="",H497=""),"SELECT TEAM &amp; PRICE",IFERROR(IF(H497&gt;INDEX(Teams!$B$4:$B$13,MATCH(G497,Teams!$A$4:$A$13,0))-SUMIFS($H$4:$H$503,$G$4:$G$503,G497,$F$4:$F$503,"SOLD",$A$4:$A$503,"&lt;&gt;"&amp;A497),"OVER BUDGET","OK"),"INVALID TEAM"))))</f>
        <v/>
      </c>
      <c r="K497" s="1" t="str">
        <f>IF(F497="SOLD",COUNTIF($F$4:F497,"SOLD"),"")</f>
        <v/>
      </c>
      <c r="L497" s="1" t="str">
        <f>IF(F497="UNSOLD",COUNTIF($F$4:F497,"UNSOLD"),"")</f>
        <v/>
      </c>
      <c r="M497" s="1" t="str">
        <f>IF(AND(F497="SOLD",G497='Team View'!$B$3),COUNTIFS($F$4:F497,"SOLD",$G$4:G497,'Team View'!$B$3),"")</f>
        <v/>
      </c>
    </row>
    <row r="498" spans="1:13">
      <c r="A498" s="1" t="str">
        <f t="shared" si="7"/>
        <v/>
      </c>
      <c r="B498" s="1"/>
      <c r="C498" s="1"/>
      <c r="D498" s="1"/>
      <c r="E498" s="7"/>
      <c r="F498" s="1"/>
      <c r="G498" s="1"/>
      <c r="H498" s="7"/>
      <c r="I498" s="1"/>
      <c r="J498" s="1" t="str">
        <f>IF(B498="","",IF(F498&lt;&gt;"SOLD","",IF(OR(G498="",H498=""),"SELECT TEAM &amp; PRICE",IFERROR(IF(H498&gt;INDEX(Teams!$B$4:$B$13,MATCH(G498,Teams!$A$4:$A$13,0))-SUMIFS($H$4:$H$503,$G$4:$G$503,G498,$F$4:$F$503,"SOLD",$A$4:$A$503,"&lt;&gt;"&amp;A498),"OVER BUDGET","OK"),"INVALID TEAM"))))</f>
        <v/>
      </c>
      <c r="K498" s="1" t="str">
        <f>IF(F498="SOLD",COUNTIF($F$4:F498,"SOLD"),"")</f>
        <v/>
      </c>
      <c r="L498" s="1" t="str">
        <f>IF(F498="UNSOLD",COUNTIF($F$4:F498,"UNSOLD"),"")</f>
        <v/>
      </c>
      <c r="M498" s="1" t="str">
        <f>IF(AND(F498="SOLD",G498='Team View'!$B$3),COUNTIFS($F$4:F498,"SOLD",$G$4:G498,'Team View'!$B$3),"")</f>
        <v/>
      </c>
    </row>
    <row r="499" spans="1:13">
      <c r="A499" s="1" t="str">
        <f t="shared" si="7"/>
        <v/>
      </c>
      <c r="B499" s="1"/>
      <c r="C499" s="1"/>
      <c r="D499" s="1"/>
      <c r="E499" s="7"/>
      <c r="F499" s="1"/>
      <c r="G499" s="1"/>
      <c r="H499" s="7"/>
      <c r="I499" s="1"/>
      <c r="J499" s="1" t="str">
        <f>IF(B499="","",IF(F499&lt;&gt;"SOLD","",IF(OR(G499="",H499=""),"SELECT TEAM &amp; PRICE",IFERROR(IF(H499&gt;INDEX(Teams!$B$4:$B$13,MATCH(G499,Teams!$A$4:$A$13,0))-SUMIFS($H$4:$H$503,$G$4:$G$503,G499,$F$4:$F$503,"SOLD",$A$4:$A$503,"&lt;&gt;"&amp;A499),"OVER BUDGET","OK"),"INVALID TEAM"))))</f>
        <v/>
      </c>
      <c r="K499" s="1" t="str">
        <f>IF(F499="SOLD",COUNTIF($F$4:F499,"SOLD"),"")</f>
        <v/>
      </c>
      <c r="L499" s="1" t="str">
        <f>IF(F499="UNSOLD",COUNTIF($F$4:F499,"UNSOLD"),"")</f>
        <v/>
      </c>
      <c r="M499" s="1" t="str">
        <f>IF(AND(F499="SOLD",G499='Team View'!$B$3),COUNTIFS($F$4:F499,"SOLD",$G$4:G499,'Team View'!$B$3),"")</f>
        <v/>
      </c>
    </row>
    <row r="500" spans="1:13">
      <c r="A500" s="1" t="str">
        <f t="shared" si="7"/>
        <v/>
      </c>
      <c r="B500" s="1"/>
      <c r="C500" s="1"/>
      <c r="D500" s="1"/>
      <c r="E500" s="7"/>
      <c r="F500" s="1"/>
      <c r="G500" s="1"/>
      <c r="H500" s="7"/>
      <c r="I500" s="1"/>
      <c r="J500" s="1" t="str">
        <f>IF(B500="","",IF(F500&lt;&gt;"SOLD","",IF(OR(G500="",H500=""),"SELECT TEAM &amp; PRICE",IFERROR(IF(H500&gt;INDEX(Teams!$B$4:$B$13,MATCH(G500,Teams!$A$4:$A$13,0))-SUMIFS($H$4:$H$503,$G$4:$G$503,G500,$F$4:$F$503,"SOLD",$A$4:$A$503,"&lt;&gt;"&amp;A500),"OVER BUDGET","OK"),"INVALID TEAM"))))</f>
        <v/>
      </c>
      <c r="K500" s="1" t="str">
        <f>IF(F500="SOLD",COUNTIF($F$4:F500,"SOLD"),"")</f>
        <v/>
      </c>
      <c r="L500" s="1" t="str">
        <f>IF(F500="UNSOLD",COUNTIF($F$4:F500,"UNSOLD"),"")</f>
        <v/>
      </c>
      <c r="M500" s="1" t="str">
        <f>IF(AND(F500="SOLD",G500='Team View'!$B$3),COUNTIFS($F$4:F500,"SOLD",$G$4:G500,'Team View'!$B$3),"")</f>
        <v/>
      </c>
    </row>
    <row r="501" spans="1:13">
      <c r="A501" s="1" t="str">
        <f t="shared" si="7"/>
        <v/>
      </c>
      <c r="B501" s="1"/>
      <c r="C501" s="1"/>
      <c r="D501" s="1"/>
      <c r="E501" s="7"/>
      <c r="F501" s="1"/>
      <c r="G501" s="1"/>
      <c r="H501" s="7"/>
      <c r="I501" s="1"/>
      <c r="J501" s="1" t="str">
        <f>IF(B501="","",IF(F501&lt;&gt;"SOLD","",IF(OR(G501="",H501=""),"SELECT TEAM &amp; PRICE",IFERROR(IF(H501&gt;INDEX(Teams!$B$4:$B$13,MATCH(G501,Teams!$A$4:$A$13,0))-SUMIFS($H$4:$H$503,$G$4:$G$503,G501,$F$4:$F$503,"SOLD",$A$4:$A$503,"&lt;&gt;"&amp;A501),"OVER BUDGET","OK"),"INVALID TEAM"))))</f>
        <v/>
      </c>
      <c r="K501" s="1" t="str">
        <f>IF(F501="SOLD",COUNTIF($F$4:F501,"SOLD"),"")</f>
        <v/>
      </c>
      <c r="L501" s="1" t="str">
        <f>IF(F501="UNSOLD",COUNTIF($F$4:F501,"UNSOLD"),"")</f>
        <v/>
      </c>
      <c r="M501" s="1" t="str">
        <f>IF(AND(F501="SOLD",G501='Team View'!$B$3),COUNTIFS($F$4:F501,"SOLD",$G$4:G501,'Team View'!$B$3),"")</f>
        <v/>
      </c>
    </row>
    <row r="502" spans="1:13">
      <c r="A502" s="1" t="str">
        <f t="shared" si="7"/>
        <v/>
      </c>
      <c r="B502" s="1"/>
      <c r="C502" s="1"/>
      <c r="D502" s="1"/>
      <c r="E502" s="7"/>
      <c r="F502" s="1"/>
      <c r="G502" s="1"/>
      <c r="H502" s="7"/>
      <c r="I502" s="1"/>
      <c r="J502" s="1" t="str">
        <f>IF(B502="","",IF(F502&lt;&gt;"SOLD","",IF(OR(G502="",H502=""),"SELECT TEAM &amp; PRICE",IFERROR(IF(H502&gt;INDEX(Teams!$B$4:$B$13,MATCH(G502,Teams!$A$4:$A$13,0))-SUMIFS($H$4:$H$503,$G$4:$G$503,G502,$F$4:$F$503,"SOLD",$A$4:$A$503,"&lt;&gt;"&amp;A502),"OVER BUDGET","OK"),"INVALID TEAM"))))</f>
        <v/>
      </c>
      <c r="K502" s="1" t="str">
        <f>IF(F502="SOLD",COUNTIF($F$4:F502,"SOLD"),"")</f>
        <v/>
      </c>
      <c r="L502" s="1" t="str">
        <f>IF(F502="UNSOLD",COUNTIF($F$4:F502,"UNSOLD"),"")</f>
        <v/>
      </c>
      <c r="M502" s="1" t="str">
        <f>IF(AND(F502="SOLD",G502='Team View'!$B$3),COUNTIFS($F$4:F502,"SOLD",$G$4:G502,'Team View'!$B$3),"")</f>
        <v/>
      </c>
    </row>
    <row r="503" spans="1:13">
      <c r="A503" s="1" t="str">
        <f t="shared" si="7"/>
        <v/>
      </c>
      <c r="B503" s="1"/>
      <c r="C503" s="1"/>
      <c r="D503" s="1"/>
      <c r="E503" s="7"/>
      <c r="F503" s="1"/>
      <c r="G503" s="1"/>
      <c r="H503" s="7"/>
      <c r="I503" s="1"/>
      <c r="J503" s="1" t="str">
        <f>IF(B503="","",IF(F503&lt;&gt;"SOLD","",IF(OR(G503="",H503=""),"SELECT TEAM &amp; PRICE",IFERROR(IF(H503&gt;INDEX(Teams!$B$4:$B$13,MATCH(G503,Teams!$A$4:$A$13,0))-SUMIFS($H$4:$H$503,$G$4:$G$503,G503,$F$4:$F$503,"SOLD",$A$4:$A$503,"&lt;&gt;"&amp;A503),"OVER BUDGET","OK"),"INVALID TEAM"))))</f>
        <v/>
      </c>
      <c r="K503" s="1" t="str">
        <f>IF(F503="SOLD",COUNTIF($F$4:F503,"SOLD"),"")</f>
        <v/>
      </c>
      <c r="L503" s="1" t="str">
        <f>IF(F503="UNSOLD",COUNTIF($F$4:F503,"UNSOLD"),"")</f>
        <v/>
      </c>
      <c r="M503" s="1" t="str">
        <f>IF(AND(F503="SOLD",G503='Team View'!$B$3),COUNTIFS($F$4:F503,"SOLD",$G$4:G503,'Team View'!$B$3),"")</f>
        <v/>
      </c>
    </row>
  </sheetData>
  <autoFilter ref="A3:J503" xr:uid="{00000000-0009-0000-0000-000002000000}"/>
  <mergeCells count="1">
    <mergeCell ref="A1:M1"/>
  </mergeCells>
  <dataValidations count="4">
    <dataValidation type="list" allowBlank="1" sqref="C4:C503" xr:uid="{00000000-0002-0000-0200-000000000000}">
      <formula1>"Batsman,Bowler,All-Rounder,Wicketkeeper"</formula1>
    </dataValidation>
    <dataValidation type="list" allowBlank="1" sqref="D4:D503" xr:uid="{00000000-0002-0000-0200-000001000000}">
      <formula1>"A,B,C,General"</formula1>
    </dataValidation>
    <dataValidation type="list" allowBlank="1" sqref="F4:F503" xr:uid="{00000000-0002-0000-0200-000002000000}">
      <formula1>"AVAILABLE,SOLD,UNSOLD"</formula1>
    </dataValidation>
    <dataValidation type="list" allowBlank="1" sqref="G4:G503" xr:uid="{00000000-0002-0000-0200-000003000000}">
      <formula1>TeamList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03"/>
  <sheetViews>
    <sheetView showGridLines="0" workbookViewId="0">
      <selection sqref="A1:G1"/>
    </sheetView>
  </sheetViews>
  <sheetFormatPr defaultRowHeight="15"/>
  <cols>
    <col min="1" max="1" width="25" customWidth="1"/>
    <col min="2" max="2" width="18" customWidth="1"/>
    <col min="3" max="3" width="15" customWidth="1"/>
    <col min="4" max="4" width="18" customWidth="1"/>
    <col min="5" max="5" width="25" customWidth="1"/>
    <col min="6" max="6" width="18" customWidth="1"/>
    <col min="7" max="7" width="30" customWidth="1"/>
  </cols>
  <sheetData>
    <row r="1" spans="1:7" ht="33.950000000000003" customHeight="1">
      <c r="A1" s="15" t="s">
        <v>3</v>
      </c>
      <c r="B1" s="16"/>
      <c r="C1" s="16"/>
      <c r="D1" s="16"/>
      <c r="E1" s="16"/>
      <c r="F1" s="16"/>
      <c r="G1" s="16"/>
    </row>
    <row r="2" spans="1:7">
      <c r="A2" s="1"/>
      <c r="B2" s="1"/>
      <c r="C2" s="1"/>
      <c r="D2" s="1"/>
      <c r="E2" s="1"/>
      <c r="F2" s="1"/>
      <c r="G2" s="1"/>
    </row>
    <row r="3" spans="1:7">
      <c r="A3" s="6" t="s">
        <v>30</v>
      </c>
      <c r="B3" s="6" t="s">
        <v>31</v>
      </c>
      <c r="C3" s="6" t="s">
        <v>32</v>
      </c>
      <c r="D3" s="6" t="s">
        <v>54</v>
      </c>
      <c r="E3" s="6" t="s">
        <v>34</v>
      </c>
      <c r="F3" s="6" t="s">
        <v>55</v>
      </c>
      <c r="G3" s="6" t="s">
        <v>36</v>
      </c>
    </row>
    <row r="4" spans="1:7">
      <c r="A4" s="1" t="str">
        <f>IFERROR(INDEX(Players!$B$4:$B$503,MATCH(1,Players!$K$4:$K$503,0)),"")</f>
        <v>Rahul Sharma</v>
      </c>
      <c r="B4" s="1" t="str">
        <f>IFERROR(INDEX(Players!$C$4:$C$503,MATCH(1,Players!$K$4:$K$503,0)),"")</f>
        <v>All-Rounder</v>
      </c>
      <c r="C4" s="1" t="str">
        <f>IFERROR(INDEX(Players!$D$4:$D$503,MATCH(1,Players!$K$4:$K$503,0)),"")</f>
        <v>A</v>
      </c>
      <c r="D4" s="7">
        <f>IFERROR(INDEX(Players!$E$4:$E$503,MATCH(1,Players!$K$4:$K$503,0)),"")</f>
        <v>5000</v>
      </c>
      <c r="E4" s="1" t="str">
        <f>IFERROR(INDEX(Players!$G$4:$G$503,MATCH(1,Players!$K$4:$K$503,0)),"")</f>
        <v>Team Warriors</v>
      </c>
      <c r="F4" s="7">
        <f>IFERROR(INDEX(Players!$H$4:$H$503,MATCH(1,Players!$K$4:$K$503,0)),"")</f>
        <v>25000</v>
      </c>
      <c r="G4" s="1">
        <f>IFERROR(INDEX(Players!$I$4:$I$503,MATCH(1,Players!$K$4:$K$503,0)),"")</f>
        <v>0</v>
      </c>
    </row>
    <row r="5" spans="1:7">
      <c r="A5" s="1" t="str">
        <f>IFERROR(INDEX(Players!$B$4:$B$503,MATCH(2,Players!$K$4:$K$503,0)),"")</f>
        <v>Rohit Verma</v>
      </c>
      <c r="B5" s="1" t="str">
        <f>IFERROR(INDEX(Players!$C$4:$C$503,MATCH(2,Players!$K$4:$K$503,0)),"")</f>
        <v>Batsman</v>
      </c>
      <c r="C5" s="1" t="str">
        <f>IFERROR(INDEX(Players!$D$4:$D$503,MATCH(2,Players!$K$4:$K$503,0)),"")</f>
        <v>A</v>
      </c>
      <c r="D5" s="7">
        <f>IFERROR(INDEX(Players!$E$4:$E$503,MATCH(2,Players!$K$4:$K$503,0)),"")</f>
        <v>5000</v>
      </c>
      <c r="E5" s="1" t="str">
        <f>IFERROR(INDEX(Players!$G$4:$G$503,MATCH(2,Players!$K$4:$K$503,0)),"")</f>
        <v>Team Titans</v>
      </c>
      <c r="F5" s="7">
        <f>IFERROR(INDEX(Players!$H$4:$H$503,MATCH(2,Players!$K$4:$K$503,0)),"")</f>
        <v>30000</v>
      </c>
      <c r="G5" s="1">
        <f>IFERROR(INDEX(Players!$I$4:$I$503,MATCH(2,Players!$K$4:$K$503,0)),"")</f>
        <v>0</v>
      </c>
    </row>
    <row r="6" spans="1:7">
      <c r="A6" s="1" t="str">
        <f>IFERROR(INDEX(Players!$B$4:$B$503,MATCH(3,Players!$K$4:$K$503,0)),"")</f>
        <v/>
      </c>
      <c r="B6" s="1" t="str">
        <f>IFERROR(INDEX(Players!$C$4:$C$503,MATCH(3,Players!$K$4:$K$503,0)),"")</f>
        <v/>
      </c>
      <c r="C6" s="1" t="str">
        <f>IFERROR(INDEX(Players!$D$4:$D$503,MATCH(3,Players!$K$4:$K$503,0)),"")</f>
        <v/>
      </c>
      <c r="D6" s="7" t="str">
        <f>IFERROR(INDEX(Players!$E$4:$E$503,MATCH(3,Players!$K$4:$K$503,0)),"")</f>
        <v/>
      </c>
      <c r="E6" s="1" t="str">
        <f>IFERROR(INDEX(Players!$G$4:$G$503,MATCH(3,Players!$K$4:$K$503,0)),"")</f>
        <v/>
      </c>
      <c r="F6" s="7" t="str">
        <f>IFERROR(INDEX(Players!$H$4:$H$503,MATCH(3,Players!$K$4:$K$503,0)),"")</f>
        <v/>
      </c>
      <c r="G6" s="1" t="str">
        <f>IFERROR(INDEX(Players!$I$4:$I$503,MATCH(3,Players!$K$4:$K$503,0)),"")</f>
        <v/>
      </c>
    </row>
    <row r="7" spans="1:7">
      <c r="A7" s="1" t="str">
        <f>IFERROR(INDEX(Players!$B$4:$B$503,MATCH(4,Players!$K$4:$K$503,0)),"")</f>
        <v/>
      </c>
      <c r="B7" s="1" t="str">
        <f>IFERROR(INDEX(Players!$C$4:$C$503,MATCH(4,Players!$K$4:$K$503,0)),"")</f>
        <v/>
      </c>
      <c r="C7" s="1" t="str">
        <f>IFERROR(INDEX(Players!$D$4:$D$503,MATCH(4,Players!$K$4:$K$503,0)),"")</f>
        <v/>
      </c>
      <c r="D7" s="7" t="str">
        <f>IFERROR(INDEX(Players!$E$4:$E$503,MATCH(4,Players!$K$4:$K$503,0)),"")</f>
        <v/>
      </c>
      <c r="E7" s="1" t="str">
        <f>IFERROR(INDEX(Players!$G$4:$G$503,MATCH(4,Players!$K$4:$K$503,0)),"")</f>
        <v/>
      </c>
      <c r="F7" s="7" t="str">
        <f>IFERROR(INDEX(Players!$H$4:$H$503,MATCH(4,Players!$K$4:$K$503,0)),"")</f>
        <v/>
      </c>
      <c r="G7" s="1" t="str">
        <f>IFERROR(INDEX(Players!$I$4:$I$503,MATCH(4,Players!$K$4:$K$503,0)),"")</f>
        <v/>
      </c>
    </row>
    <row r="8" spans="1:7">
      <c r="A8" s="1" t="str">
        <f>IFERROR(INDEX(Players!$B$4:$B$503,MATCH(5,Players!$K$4:$K$503,0)),"")</f>
        <v/>
      </c>
      <c r="B8" s="1" t="str">
        <f>IFERROR(INDEX(Players!$C$4:$C$503,MATCH(5,Players!$K$4:$K$503,0)),"")</f>
        <v/>
      </c>
      <c r="C8" s="1" t="str">
        <f>IFERROR(INDEX(Players!$D$4:$D$503,MATCH(5,Players!$K$4:$K$503,0)),"")</f>
        <v/>
      </c>
      <c r="D8" s="7" t="str">
        <f>IFERROR(INDEX(Players!$E$4:$E$503,MATCH(5,Players!$K$4:$K$503,0)),"")</f>
        <v/>
      </c>
      <c r="E8" s="1" t="str">
        <f>IFERROR(INDEX(Players!$G$4:$G$503,MATCH(5,Players!$K$4:$K$503,0)),"")</f>
        <v/>
      </c>
      <c r="F8" s="7" t="str">
        <f>IFERROR(INDEX(Players!$H$4:$H$503,MATCH(5,Players!$K$4:$K$503,0)),"")</f>
        <v/>
      </c>
      <c r="G8" s="1" t="str">
        <f>IFERROR(INDEX(Players!$I$4:$I$503,MATCH(5,Players!$K$4:$K$503,0)),"")</f>
        <v/>
      </c>
    </row>
    <row r="9" spans="1:7">
      <c r="A9" s="1" t="str">
        <f>IFERROR(INDEX(Players!$B$4:$B$503,MATCH(6,Players!$K$4:$K$503,0)),"")</f>
        <v/>
      </c>
      <c r="B9" s="1" t="str">
        <f>IFERROR(INDEX(Players!$C$4:$C$503,MATCH(6,Players!$K$4:$K$503,0)),"")</f>
        <v/>
      </c>
      <c r="C9" s="1" t="str">
        <f>IFERROR(INDEX(Players!$D$4:$D$503,MATCH(6,Players!$K$4:$K$503,0)),"")</f>
        <v/>
      </c>
      <c r="D9" s="7" t="str">
        <f>IFERROR(INDEX(Players!$E$4:$E$503,MATCH(6,Players!$K$4:$K$503,0)),"")</f>
        <v/>
      </c>
      <c r="E9" s="1" t="str">
        <f>IFERROR(INDEX(Players!$G$4:$G$503,MATCH(6,Players!$K$4:$K$503,0)),"")</f>
        <v/>
      </c>
      <c r="F9" s="7" t="str">
        <f>IFERROR(INDEX(Players!$H$4:$H$503,MATCH(6,Players!$K$4:$K$503,0)),"")</f>
        <v/>
      </c>
      <c r="G9" s="1" t="str">
        <f>IFERROR(INDEX(Players!$I$4:$I$503,MATCH(6,Players!$K$4:$K$503,0)),"")</f>
        <v/>
      </c>
    </row>
    <row r="10" spans="1:7">
      <c r="A10" s="1" t="str">
        <f>IFERROR(INDEX(Players!$B$4:$B$503,MATCH(7,Players!$K$4:$K$503,0)),"")</f>
        <v/>
      </c>
      <c r="B10" s="1" t="str">
        <f>IFERROR(INDEX(Players!$C$4:$C$503,MATCH(7,Players!$K$4:$K$503,0)),"")</f>
        <v/>
      </c>
      <c r="C10" s="1" t="str">
        <f>IFERROR(INDEX(Players!$D$4:$D$503,MATCH(7,Players!$K$4:$K$503,0)),"")</f>
        <v/>
      </c>
      <c r="D10" s="7" t="str">
        <f>IFERROR(INDEX(Players!$E$4:$E$503,MATCH(7,Players!$K$4:$K$503,0)),"")</f>
        <v/>
      </c>
      <c r="E10" s="1" t="str">
        <f>IFERROR(INDEX(Players!$G$4:$G$503,MATCH(7,Players!$K$4:$K$503,0)),"")</f>
        <v/>
      </c>
      <c r="F10" s="7" t="str">
        <f>IFERROR(INDEX(Players!$H$4:$H$503,MATCH(7,Players!$K$4:$K$503,0)),"")</f>
        <v/>
      </c>
      <c r="G10" s="1" t="str">
        <f>IFERROR(INDEX(Players!$I$4:$I$503,MATCH(7,Players!$K$4:$K$503,0)),"")</f>
        <v/>
      </c>
    </row>
    <row r="11" spans="1:7">
      <c r="A11" s="1" t="str">
        <f>IFERROR(INDEX(Players!$B$4:$B$503,MATCH(8,Players!$K$4:$K$503,0)),"")</f>
        <v/>
      </c>
      <c r="B11" s="1" t="str">
        <f>IFERROR(INDEX(Players!$C$4:$C$503,MATCH(8,Players!$K$4:$K$503,0)),"")</f>
        <v/>
      </c>
      <c r="C11" s="1" t="str">
        <f>IFERROR(INDEX(Players!$D$4:$D$503,MATCH(8,Players!$K$4:$K$503,0)),"")</f>
        <v/>
      </c>
      <c r="D11" s="7" t="str">
        <f>IFERROR(INDEX(Players!$E$4:$E$503,MATCH(8,Players!$K$4:$K$503,0)),"")</f>
        <v/>
      </c>
      <c r="E11" s="1" t="str">
        <f>IFERROR(INDEX(Players!$G$4:$G$503,MATCH(8,Players!$K$4:$K$503,0)),"")</f>
        <v/>
      </c>
      <c r="F11" s="7" t="str">
        <f>IFERROR(INDEX(Players!$H$4:$H$503,MATCH(8,Players!$K$4:$K$503,0)),"")</f>
        <v/>
      </c>
      <c r="G11" s="1" t="str">
        <f>IFERROR(INDEX(Players!$I$4:$I$503,MATCH(8,Players!$K$4:$K$503,0)),"")</f>
        <v/>
      </c>
    </row>
    <row r="12" spans="1:7">
      <c r="A12" s="1" t="str">
        <f>IFERROR(INDEX(Players!$B$4:$B$503,MATCH(9,Players!$K$4:$K$503,0)),"")</f>
        <v/>
      </c>
      <c r="B12" s="1" t="str">
        <f>IFERROR(INDEX(Players!$C$4:$C$503,MATCH(9,Players!$K$4:$K$503,0)),"")</f>
        <v/>
      </c>
      <c r="C12" s="1" t="str">
        <f>IFERROR(INDEX(Players!$D$4:$D$503,MATCH(9,Players!$K$4:$K$503,0)),"")</f>
        <v/>
      </c>
      <c r="D12" s="7" t="str">
        <f>IFERROR(INDEX(Players!$E$4:$E$503,MATCH(9,Players!$K$4:$K$503,0)),"")</f>
        <v/>
      </c>
      <c r="E12" s="1" t="str">
        <f>IFERROR(INDEX(Players!$G$4:$G$503,MATCH(9,Players!$K$4:$K$503,0)),"")</f>
        <v/>
      </c>
      <c r="F12" s="7" t="str">
        <f>IFERROR(INDEX(Players!$H$4:$H$503,MATCH(9,Players!$K$4:$K$503,0)),"")</f>
        <v/>
      </c>
      <c r="G12" s="1" t="str">
        <f>IFERROR(INDEX(Players!$I$4:$I$503,MATCH(9,Players!$K$4:$K$503,0)),"")</f>
        <v/>
      </c>
    </row>
    <row r="13" spans="1:7">
      <c r="A13" s="1" t="str">
        <f>IFERROR(INDEX(Players!$B$4:$B$503,MATCH(10,Players!$K$4:$K$503,0)),"")</f>
        <v/>
      </c>
      <c r="B13" s="1" t="str">
        <f>IFERROR(INDEX(Players!$C$4:$C$503,MATCH(10,Players!$K$4:$K$503,0)),"")</f>
        <v/>
      </c>
      <c r="C13" s="1" t="str">
        <f>IFERROR(INDEX(Players!$D$4:$D$503,MATCH(10,Players!$K$4:$K$503,0)),"")</f>
        <v/>
      </c>
      <c r="D13" s="7" t="str">
        <f>IFERROR(INDEX(Players!$E$4:$E$503,MATCH(10,Players!$K$4:$K$503,0)),"")</f>
        <v/>
      </c>
      <c r="E13" s="1" t="str">
        <f>IFERROR(INDEX(Players!$G$4:$G$503,MATCH(10,Players!$K$4:$K$503,0)),"")</f>
        <v/>
      </c>
      <c r="F13" s="7" t="str">
        <f>IFERROR(INDEX(Players!$H$4:$H$503,MATCH(10,Players!$K$4:$K$503,0)),"")</f>
        <v/>
      </c>
      <c r="G13" s="1" t="str">
        <f>IFERROR(INDEX(Players!$I$4:$I$503,MATCH(10,Players!$K$4:$K$503,0)),"")</f>
        <v/>
      </c>
    </row>
    <row r="14" spans="1:7">
      <c r="A14" s="1" t="str">
        <f>IFERROR(INDEX(Players!$B$4:$B$503,MATCH(11,Players!$K$4:$K$503,0)),"")</f>
        <v/>
      </c>
      <c r="B14" s="1" t="str">
        <f>IFERROR(INDEX(Players!$C$4:$C$503,MATCH(11,Players!$K$4:$K$503,0)),"")</f>
        <v/>
      </c>
      <c r="C14" s="1" t="str">
        <f>IFERROR(INDEX(Players!$D$4:$D$503,MATCH(11,Players!$K$4:$K$503,0)),"")</f>
        <v/>
      </c>
      <c r="D14" s="7" t="str">
        <f>IFERROR(INDEX(Players!$E$4:$E$503,MATCH(11,Players!$K$4:$K$503,0)),"")</f>
        <v/>
      </c>
      <c r="E14" s="1" t="str">
        <f>IFERROR(INDEX(Players!$G$4:$G$503,MATCH(11,Players!$K$4:$K$503,0)),"")</f>
        <v/>
      </c>
      <c r="F14" s="7" t="str">
        <f>IFERROR(INDEX(Players!$H$4:$H$503,MATCH(11,Players!$K$4:$K$503,0)),"")</f>
        <v/>
      </c>
      <c r="G14" s="1" t="str">
        <f>IFERROR(INDEX(Players!$I$4:$I$503,MATCH(11,Players!$K$4:$K$503,0)),"")</f>
        <v/>
      </c>
    </row>
    <row r="15" spans="1:7">
      <c r="A15" s="1" t="str">
        <f>IFERROR(INDEX(Players!$B$4:$B$503,MATCH(12,Players!$K$4:$K$503,0)),"")</f>
        <v/>
      </c>
      <c r="B15" s="1" t="str">
        <f>IFERROR(INDEX(Players!$C$4:$C$503,MATCH(12,Players!$K$4:$K$503,0)),"")</f>
        <v/>
      </c>
      <c r="C15" s="1" t="str">
        <f>IFERROR(INDEX(Players!$D$4:$D$503,MATCH(12,Players!$K$4:$K$503,0)),"")</f>
        <v/>
      </c>
      <c r="D15" s="7" t="str">
        <f>IFERROR(INDEX(Players!$E$4:$E$503,MATCH(12,Players!$K$4:$K$503,0)),"")</f>
        <v/>
      </c>
      <c r="E15" s="1" t="str">
        <f>IFERROR(INDEX(Players!$G$4:$G$503,MATCH(12,Players!$K$4:$K$503,0)),"")</f>
        <v/>
      </c>
      <c r="F15" s="7" t="str">
        <f>IFERROR(INDEX(Players!$H$4:$H$503,MATCH(12,Players!$K$4:$K$503,0)),"")</f>
        <v/>
      </c>
      <c r="G15" s="1" t="str">
        <f>IFERROR(INDEX(Players!$I$4:$I$503,MATCH(12,Players!$K$4:$K$503,0)),"")</f>
        <v/>
      </c>
    </row>
    <row r="16" spans="1:7">
      <c r="A16" s="1" t="str">
        <f>IFERROR(INDEX(Players!$B$4:$B$503,MATCH(13,Players!$K$4:$K$503,0)),"")</f>
        <v/>
      </c>
      <c r="B16" s="1" t="str">
        <f>IFERROR(INDEX(Players!$C$4:$C$503,MATCH(13,Players!$K$4:$K$503,0)),"")</f>
        <v/>
      </c>
      <c r="C16" s="1" t="str">
        <f>IFERROR(INDEX(Players!$D$4:$D$503,MATCH(13,Players!$K$4:$K$503,0)),"")</f>
        <v/>
      </c>
      <c r="D16" s="7" t="str">
        <f>IFERROR(INDEX(Players!$E$4:$E$503,MATCH(13,Players!$K$4:$K$503,0)),"")</f>
        <v/>
      </c>
      <c r="E16" s="1" t="str">
        <f>IFERROR(INDEX(Players!$G$4:$G$503,MATCH(13,Players!$K$4:$K$503,0)),"")</f>
        <v/>
      </c>
      <c r="F16" s="7" t="str">
        <f>IFERROR(INDEX(Players!$H$4:$H$503,MATCH(13,Players!$K$4:$K$503,0)),"")</f>
        <v/>
      </c>
      <c r="G16" s="1" t="str">
        <f>IFERROR(INDEX(Players!$I$4:$I$503,MATCH(13,Players!$K$4:$K$503,0)),"")</f>
        <v/>
      </c>
    </row>
    <row r="17" spans="1:7">
      <c r="A17" s="1" t="str">
        <f>IFERROR(INDEX(Players!$B$4:$B$503,MATCH(14,Players!$K$4:$K$503,0)),"")</f>
        <v/>
      </c>
      <c r="B17" s="1" t="str">
        <f>IFERROR(INDEX(Players!$C$4:$C$503,MATCH(14,Players!$K$4:$K$503,0)),"")</f>
        <v/>
      </c>
      <c r="C17" s="1" t="str">
        <f>IFERROR(INDEX(Players!$D$4:$D$503,MATCH(14,Players!$K$4:$K$503,0)),"")</f>
        <v/>
      </c>
      <c r="D17" s="7" t="str">
        <f>IFERROR(INDEX(Players!$E$4:$E$503,MATCH(14,Players!$K$4:$K$503,0)),"")</f>
        <v/>
      </c>
      <c r="E17" s="1" t="str">
        <f>IFERROR(INDEX(Players!$G$4:$G$503,MATCH(14,Players!$K$4:$K$503,0)),"")</f>
        <v/>
      </c>
      <c r="F17" s="7" t="str">
        <f>IFERROR(INDEX(Players!$H$4:$H$503,MATCH(14,Players!$K$4:$K$503,0)),"")</f>
        <v/>
      </c>
      <c r="G17" s="1" t="str">
        <f>IFERROR(INDEX(Players!$I$4:$I$503,MATCH(14,Players!$K$4:$K$503,0)),"")</f>
        <v/>
      </c>
    </row>
    <row r="18" spans="1:7">
      <c r="A18" s="1" t="str">
        <f>IFERROR(INDEX(Players!$B$4:$B$503,MATCH(15,Players!$K$4:$K$503,0)),"")</f>
        <v/>
      </c>
      <c r="B18" s="1" t="str">
        <f>IFERROR(INDEX(Players!$C$4:$C$503,MATCH(15,Players!$K$4:$K$503,0)),"")</f>
        <v/>
      </c>
      <c r="C18" s="1" t="str">
        <f>IFERROR(INDEX(Players!$D$4:$D$503,MATCH(15,Players!$K$4:$K$503,0)),"")</f>
        <v/>
      </c>
      <c r="D18" s="7" t="str">
        <f>IFERROR(INDEX(Players!$E$4:$E$503,MATCH(15,Players!$K$4:$K$503,0)),"")</f>
        <v/>
      </c>
      <c r="E18" s="1" t="str">
        <f>IFERROR(INDEX(Players!$G$4:$G$503,MATCH(15,Players!$K$4:$K$503,0)),"")</f>
        <v/>
      </c>
      <c r="F18" s="7" t="str">
        <f>IFERROR(INDEX(Players!$H$4:$H$503,MATCH(15,Players!$K$4:$K$503,0)),"")</f>
        <v/>
      </c>
      <c r="G18" s="1" t="str">
        <f>IFERROR(INDEX(Players!$I$4:$I$503,MATCH(15,Players!$K$4:$K$503,0)),"")</f>
        <v/>
      </c>
    </row>
    <row r="19" spans="1:7">
      <c r="A19" s="1" t="str">
        <f>IFERROR(INDEX(Players!$B$4:$B$503,MATCH(16,Players!$K$4:$K$503,0)),"")</f>
        <v/>
      </c>
      <c r="B19" s="1" t="str">
        <f>IFERROR(INDEX(Players!$C$4:$C$503,MATCH(16,Players!$K$4:$K$503,0)),"")</f>
        <v/>
      </c>
      <c r="C19" s="1" t="str">
        <f>IFERROR(INDEX(Players!$D$4:$D$503,MATCH(16,Players!$K$4:$K$503,0)),"")</f>
        <v/>
      </c>
      <c r="D19" s="7" t="str">
        <f>IFERROR(INDEX(Players!$E$4:$E$503,MATCH(16,Players!$K$4:$K$503,0)),"")</f>
        <v/>
      </c>
      <c r="E19" s="1" t="str">
        <f>IFERROR(INDEX(Players!$G$4:$G$503,MATCH(16,Players!$K$4:$K$503,0)),"")</f>
        <v/>
      </c>
      <c r="F19" s="7" t="str">
        <f>IFERROR(INDEX(Players!$H$4:$H$503,MATCH(16,Players!$K$4:$K$503,0)),"")</f>
        <v/>
      </c>
      <c r="G19" s="1" t="str">
        <f>IFERROR(INDEX(Players!$I$4:$I$503,MATCH(16,Players!$K$4:$K$503,0)),"")</f>
        <v/>
      </c>
    </row>
    <row r="20" spans="1:7">
      <c r="A20" s="1" t="str">
        <f>IFERROR(INDEX(Players!$B$4:$B$503,MATCH(17,Players!$K$4:$K$503,0)),"")</f>
        <v/>
      </c>
      <c r="B20" s="1" t="str">
        <f>IFERROR(INDEX(Players!$C$4:$C$503,MATCH(17,Players!$K$4:$K$503,0)),"")</f>
        <v/>
      </c>
      <c r="C20" s="1" t="str">
        <f>IFERROR(INDEX(Players!$D$4:$D$503,MATCH(17,Players!$K$4:$K$503,0)),"")</f>
        <v/>
      </c>
      <c r="D20" s="7" t="str">
        <f>IFERROR(INDEX(Players!$E$4:$E$503,MATCH(17,Players!$K$4:$K$503,0)),"")</f>
        <v/>
      </c>
      <c r="E20" s="1" t="str">
        <f>IFERROR(INDEX(Players!$G$4:$G$503,MATCH(17,Players!$K$4:$K$503,0)),"")</f>
        <v/>
      </c>
      <c r="F20" s="7" t="str">
        <f>IFERROR(INDEX(Players!$H$4:$H$503,MATCH(17,Players!$K$4:$K$503,0)),"")</f>
        <v/>
      </c>
      <c r="G20" s="1" t="str">
        <f>IFERROR(INDEX(Players!$I$4:$I$503,MATCH(17,Players!$K$4:$K$503,0)),"")</f>
        <v/>
      </c>
    </row>
    <row r="21" spans="1:7">
      <c r="A21" s="1" t="str">
        <f>IFERROR(INDEX(Players!$B$4:$B$503,MATCH(18,Players!$K$4:$K$503,0)),"")</f>
        <v/>
      </c>
      <c r="B21" s="1" t="str">
        <f>IFERROR(INDEX(Players!$C$4:$C$503,MATCH(18,Players!$K$4:$K$503,0)),"")</f>
        <v/>
      </c>
      <c r="C21" s="1" t="str">
        <f>IFERROR(INDEX(Players!$D$4:$D$503,MATCH(18,Players!$K$4:$K$503,0)),"")</f>
        <v/>
      </c>
      <c r="D21" s="7" t="str">
        <f>IFERROR(INDEX(Players!$E$4:$E$503,MATCH(18,Players!$K$4:$K$503,0)),"")</f>
        <v/>
      </c>
      <c r="E21" s="1" t="str">
        <f>IFERROR(INDEX(Players!$G$4:$G$503,MATCH(18,Players!$K$4:$K$503,0)),"")</f>
        <v/>
      </c>
      <c r="F21" s="7" t="str">
        <f>IFERROR(INDEX(Players!$H$4:$H$503,MATCH(18,Players!$K$4:$K$503,0)),"")</f>
        <v/>
      </c>
      <c r="G21" s="1" t="str">
        <f>IFERROR(INDEX(Players!$I$4:$I$503,MATCH(18,Players!$K$4:$K$503,0)),"")</f>
        <v/>
      </c>
    </row>
    <row r="22" spans="1:7">
      <c r="A22" s="1" t="str">
        <f>IFERROR(INDEX(Players!$B$4:$B$503,MATCH(19,Players!$K$4:$K$503,0)),"")</f>
        <v/>
      </c>
      <c r="B22" s="1" t="str">
        <f>IFERROR(INDEX(Players!$C$4:$C$503,MATCH(19,Players!$K$4:$K$503,0)),"")</f>
        <v/>
      </c>
      <c r="C22" s="1" t="str">
        <f>IFERROR(INDEX(Players!$D$4:$D$503,MATCH(19,Players!$K$4:$K$503,0)),"")</f>
        <v/>
      </c>
      <c r="D22" s="7" t="str">
        <f>IFERROR(INDEX(Players!$E$4:$E$503,MATCH(19,Players!$K$4:$K$503,0)),"")</f>
        <v/>
      </c>
      <c r="E22" s="1" t="str">
        <f>IFERROR(INDEX(Players!$G$4:$G$503,MATCH(19,Players!$K$4:$K$503,0)),"")</f>
        <v/>
      </c>
      <c r="F22" s="7" t="str">
        <f>IFERROR(INDEX(Players!$H$4:$H$503,MATCH(19,Players!$K$4:$K$503,0)),"")</f>
        <v/>
      </c>
      <c r="G22" s="1" t="str">
        <f>IFERROR(INDEX(Players!$I$4:$I$503,MATCH(19,Players!$K$4:$K$503,0)),"")</f>
        <v/>
      </c>
    </row>
    <row r="23" spans="1:7">
      <c r="A23" s="1" t="str">
        <f>IFERROR(INDEX(Players!$B$4:$B$503,MATCH(20,Players!$K$4:$K$503,0)),"")</f>
        <v/>
      </c>
      <c r="B23" s="1" t="str">
        <f>IFERROR(INDEX(Players!$C$4:$C$503,MATCH(20,Players!$K$4:$K$503,0)),"")</f>
        <v/>
      </c>
      <c r="C23" s="1" t="str">
        <f>IFERROR(INDEX(Players!$D$4:$D$503,MATCH(20,Players!$K$4:$K$503,0)),"")</f>
        <v/>
      </c>
      <c r="D23" s="7" t="str">
        <f>IFERROR(INDEX(Players!$E$4:$E$503,MATCH(20,Players!$K$4:$K$503,0)),"")</f>
        <v/>
      </c>
      <c r="E23" s="1" t="str">
        <f>IFERROR(INDEX(Players!$G$4:$G$503,MATCH(20,Players!$K$4:$K$503,0)),"")</f>
        <v/>
      </c>
      <c r="F23" s="7" t="str">
        <f>IFERROR(INDEX(Players!$H$4:$H$503,MATCH(20,Players!$K$4:$K$503,0)),"")</f>
        <v/>
      </c>
      <c r="G23" s="1" t="str">
        <f>IFERROR(INDEX(Players!$I$4:$I$503,MATCH(20,Players!$K$4:$K$503,0)),"")</f>
        <v/>
      </c>
    </row>
    <row r="24" spans="1:7">
      <c r="A24" s="1" t="str">
        <f>IFERROR(INDEX(Players!$B$4:$B$503,MATCH(21,Players!$K$4:$K$503,0)),"")</f>
        <v/>
      </c>
      <c r="B24" s="1" t="str">
        <f>IFERROR(INDEX(Players!$C$4:$C$503,MATCH(21,Players!$K$4:$K$503,0)),"")</f>
        <v/>
      </c>
      <c r="C24" s="1" t="str">
        <f>IFERROR(INDEX(Players!$D$4:$D$503,MATCH(21,Players!$K$4:$K$503,0)),"")</f>
        <v/>
      </c>
      <c r="D24" s="7" t="str">
        <f>IFERROR(INDEX(Players!$E$4:$E$503,MATCH(21,Players!$K$4:$K$503,0)),"")</f>
        <v/>
      </c>
      <c r="E24" s="1" t="str">
        <f>IFERROR(INDEX(Players!$G$4:$G$503,MATCH(21,Players!$K$4:$K$503,0)),"")</f>
        <v/>
      </c>
      <c r="F24" s="7" t="str">
        <f>IFERROR(INDEX(Players!$H$4:$H$503,MATCH(21,Players!$K$4:$K$503,0)),"")</f>
        <v/>
      </c>
      <c r="G24" s="1" t="str">
        <f>IFERROR(INDEX(Players!$I$4:$I$503,MATCH(21,Players!$K$4:$K$503,0)),"")</f>
        <v/>
      </c>
    </row>
    <row r="25" spans="1:7">
      <c r="A25" s="1" t="str">
        <f>IFERROR(INDEX(Players!$B$4:$B$503,MATCH(22,Players!$K$4:$K$503,0)),"")</f>
        <v/>
      </c>
      <c r="B25" s="1" t="str">
        <f>IFERROR(INDEX(Players!$C$4:$C$503,MATCH(22,Players!$K$4:$K$503,0)),"")</f>
        <v/>
      </c>
      <c r="C25" s="1" t="str">
        <f>IFERROR(INDEX(Players!$D$4:$D$503,MATCH(22,Players!$K$4:$K$503,0)),"")</f>
        <v/>
      </c>
      <c r="D25" s="7" t="str">
        <f>IFERROR(INDEX(Players!$E$4:$E$503,MATCH(22,Players!$K$4:$K$503,0)),"")</f>
        <v/>
      </c>
      <c r="E25" s="1" t="str">
        <f>IFERROR(INDEX(Players!$G$4:$G$503,MATCH(22,Players!$K$4:$K$503,0)),"")</f>
        <v/>
      </c>
      <c r="F25" s="7" t="str">
        <f>IFERROR(INDEX(Players!$H$4:$H$503,MATCH(22,Players!$K$4:$K$503,0)),"")</f>
        <v/>
      </c>
      <c r="G25" s="1" t="str">
        <f>IFERROR(INDEX(Players!$I$4:$I$503,MATCH(22,Players!$K$4:$K$503,0)),"")</f>
        <v/>
      </c>
    </row>
    <row r="26" spans="1:7">
      <c r="A26" s="1" t="str">
        <f>IFERROR(INDEX(Players!$B$4:$B$503,MATCH(23,Players!$K$4:$K$503,0)),"")</f>
        <v/>
      </c>
      <c r="B26" s="1" t="str">
        <f>IFERROR(INDEX(Players!$C$4:$C$503,MATCH(23,Players!$K$4:$K$503,0)),"")</f>
        <v/>
      </c>
      <c r="C26" s="1" t="str">
        <f>IFERROR(INDEX(Players!$D$4:$D$503,MATCH(23,Players!$K$4:$K$503,0)),"")</f>
        <v/>
      </c>
      <c r="D26" s="7" t="str">
        <f>IFERROR(INDEX(Players!$E$4:$E$503,MATCH(23,Players!$K$4:$K$503,0)),"")</f>
        <v/>
      </c>
      <c r="E26" s="1" t="str">
        <f>IFERROR(INDEX(Players!$G$4:$G$503,MATCH(23,Players!$K$4:$K$503,0)),"")</f>
        <v/>
      </c>
      <c r="F26" s="7" t="str">
        <f>IFERROR(INDEX(Players!$H$4:$H$503,MATCH(23,Players!$K$4:$K$503,0)),"")</f>
        <v/>
      </c>
      <c r="G26" s="1" t="str">
        <f>IFERROR(INDEX(Players!$I$4:$I$503,MATCH(23,Players!$K$4:$K$503,0)),"")</f>
        <v/>
      </c>
    </row>
    <row r="27" spans="1:7">
      <c r="A27" s="1" t="str">
        <f>IFERROR(INDEX(Players!$B$4:$B$503,MATCH(24,Players!$K$4:$K$503,0)),"")</f>
        <v/>
      </c>
      <c r="B27" s="1" t="str">
        <f>IFERROR(INDEX(Players!$C$4:$C$503,MATCH(24,Players!$K$4:$K$503,0)),"")</f>
        <v/>
      </c>
      <c r="C27" s="1" t="str">
        <f>IFERROR(INDEX(Players!$D$4:$D$503,MATCH(24,Players!$K$4:$K$503,0)),"")</f>
        <v/>
      </c>
      <c r="D27" s="7" t="str">
        <f>IFERROR(INDEX(Players!$E$4:$E$503,MATCH(24,Players!$K$4:$K$503,0)),"")</f>
        <v/>
      </c>
      <c r="E27" s="1" t="str">
        <f>IFERROR(INDEX(Players!$G$4:$G$503,MATCH(24,Players!$K$4:$K$503,0)),"")</f>
        <v/>
      </c>
      <c r="F27" s="7" t="str">
        <f>IFERROR(INDEX(Players!$H$4:$H$503,MATCH(24,Players!$K$4:$K$503,0)),"")</f>
        <v/>
      </c>
      <c r="G27" s="1" t="str">
        <f>IFERROR(INDEX(Players!$I$4:$I$503,MATCH(24,Players!$K$4:$K$503,0)),"")</f>
        <v/>
      </c>
    </row>
    <row r="28" spans="1:7">
      <c r="A28" s="1" t="str">
        <f>IFERROR(INDEX(Players!$B$4:$B$503,MATCH(25,Players!$K$4:$K$503,0)),"")</f>
        <v/>
      </c>
      <c r="B28" s="1" t="str">
        <f>IFERROR(INDEX(Players!$C$4:$C$503,MATCH(25,Players!$K$4:$K$503,0)),"")</f>
        <v/>
      </c>
      <c r="C28" s="1" t="str">
        <f>IFERROR(INDEX(Players!$D$4:$D$503,MATCH(25,Players!$K$4:$K$503,0)),"")</f>
        <v/>
      </c>
      <c r="D28" s="7" t="str">
        <f>IFERROR(INDEX(Players!$E$4:$E$503,MATCH(25,Players!$K$4:$K$503,0)),"")</f>
        <v/>
      </c>
      <c r="E28" s="1" t="str">
        <f>IFERROR(INDEX(Players!$G$4:$G$503,MATCH(25,Players!$K$4:$K$503,0)),"")</f>
        <v/>
      </c>
      <c r="F28" s="7" t="str">
        <f>IFERROR(INDEX(Players!$H$4:$H$503,MATCH(25,Players!$K$4:$K$503,0)),"")</f>
        <v/>
      </c>
      <c r="G28" s="1" t="str">
        <f>IFERROR(INDEX(Players!$I$4:$I$503,MATCH(25,Players!$K$4:$K$503,0)),"")</f>
        <v/>
      </c>
    </row>
    <row r="29" spans="1:7">
      <c r="A29" s="1" t="str">
        <f>IFERROR(INDEX(Players!$B$4:$B$503,MATCH(26,Players!$K$4:$K$503,0)),"")</f>
        <v/>
      </c>
      <c r="B29" s="1" t="str">
        <f>IFERROR(INDEX(Players!$C$4:$C$503,MATCH(26,Players!$K$4:$K$503,0)),"")</f>
        <v/>
      </c>
      <c r="C29" s="1" t="str">
        <f>IFERROR(INDEX(Players!$D$4:$D$503,MATCH(26,Players!$K$4:$K$503,0)),"")</f>
        <v/>
      </c>
      <c r="D29" s="7" t="str">
        <f>IFERROR(INDEX(Players!$E$4:$E$503,MATCH(26,Players!$K$4:$K$503,0)),"")</f>
        <v/>
      </c>
      <c r="E29" s="1" t="str">
        <f>IFERROR(INDEX(Players!$G$4:$G$503,MATCH(26,Players!$K$4:$K$503,0)),"")</f>
        <v/>
      </c>
      <c r="F29" s="7" t="str">
        <f>IFERROR(INDEX(Players!$H$4:$H$503,MATCH(26,Players!$K$4:$K$503,0)),"")</f>
        <v/>
      </c>
      <c r="G29" s="1" t="str">
        <f>IFERROR(INDEX(Players!$I$4:$I$503,MATCH(26,Players!$K$4:$K$503,0)),"")</f>
        <v/>
      </c>
    </row>
    <row r="30" spans="1:7">
      <c r="A30" s="1" t="str">
        <f>IFERROR(INDEX(Players!$B$4:$B$503,MATCH(27,Players!$K$4:$K$503,0)),"")</f>
        <v/>
      </c>
      <c r="B30" s="1" t="str">
        <f>IFERROR(INDEX(Players!$C$4:$C$503,MATCH(27,Players!$K$4:$K$503,0)),"")</f>
        <v/>
      </c>
      <c r="C30" s="1" t="str">
        <f>IFERROR(INDEX(Players!$D$4:$D$503,MATCH(27,Players!$K$4:$K$503,0)),"")</f>
        <v/>
      </c>
      <c r="D30" s="7" t="str">
        <f>IFERROR(INDEX(Players!$E$4:$E$503,MATCH(27,Players!$K$4:$K$503,0)),"")</f>
        <v/>
      </c>
      <c r="E30" s="1" t="str">
        <f>IFERROR(INDEX(Players!$G$4:$G$503,MATCH(27,Players!$K$4:$K$503,0)),"")</f>
        <v/>
      </c>
      <c r="F30" s="7" t="str">
        <f>IFERROR(INDEX(Players!$H$4:$H$503,MATCH(27,Players!$K$4:$K$503,0)),"")</f>
        <v/>
      </c>
      <c r="G30" s="1" t="str">
        <f>IFERROR(INDEX(Players!$I$4:$I$503,MATCH(27,Players!$K$4:$K$503,0)),"")</f>
        <v/>
      </c>
    </row>
    <row r="31" spans="1:7">
      <c r="A31" s="1" t="str">
        <f>IFERROR(INDEX(Players!$B$4:$B$503,MATCH(28,Players!$K$4:$K$503,0)),"")</f>
        <v/>
      </c>
      <c r="B31" s="1" t="str">
        <f>IFERROR(INDEX(Players!$C$4:$C$503,MATCH(28,Players!$K$4:$K$503,0)),"")</f>
        <v/>
      </c>
      <c r="C31" s="1" t="str">
        <f>IFERROR(INDEX(Players!$D$4:$D$503,MATCH(28,Players!$K$4:$K$503,0)),"")</f>
        <v/>
      </c>
      <c r="D31" s="7" t="str">
        <f>IFERROR(INDEX(Players!$E$4:$E$503,MATCH(28,Players!$K$4:$K$503,0)),"")</f>
        <v/>
      </c>
      <c r="E31" s="1" t="str">
        <f>IFERROR(INDEX(Players!$G$4:$G$503,MATCH(28,Players!$K$4:$K$503,0)),"")</f>
        <v/>
      </c>
      <c r="F31" s="7" t="str">
        <f>IFERROR(INDEX(Players!$H$4:$H$503,MATCH(28,Players!$K$4:$K$503,0)),"")</f>
        <v/>
      </c>
      <c r="G31" s="1" t="str">
        <f>IFERROR(INDEX(Players!$I$4:$I$503,MATCH(28,Players!$K$4:$K$503,0)),"")</f>
        <v/>
      </c>
    </row>
    <row r="32" spans="1:7">
      <c r="A32" s="1" t="str">
        <f>IFERROR(INDEX(Players!$B$4:$B$503,MATCH(29,Players!$K$4:$K$503,0)),"")</f>
        <v/>
      </c>
      <c r="B32" s="1" t="str">
        <f>IFERROR(INDEX(Players!$C$4:$C$503,MATCH(29,Players!$K$4:$K$503,0)),"")</f>
        <v/>
      </c>
      <c r="C32" s="1" t="str">
        <f>IFERROR(INDEX(Players!$D$4:$D$503,MATCH(29,Players!$K$4:$K$503,0)),"")</f>
        <v/>
      </c>
      <c r="D32" s="7" t="str">
        <f>IFERROR(INDEX(Players!$E$4:$E$503,MATCH(29,Players!$K$4:$K$503,0)),"")</f>
        <v/>
      </c>
      <c r="E32" s="1" t="str">
        <f>IFERROR(INDEX(Players!$G$4:$G$503,MATCH(29,Players!$K$4:$K$503,0)),"")</f>
        <v/>
      </c>
      <c r="F32" s="7" t="str">
        <f>IFERROR(INDEX(Players!$H$4:$H$503,MATCH(29,Players!$K$4:$K$503,0)),"")</f>
        <v/>
      </c>
      <c r="G32" s="1" t="str">
        <f>IFERROR(INDEX(Players!$I$4:$I$503,MATCH(29,Players!$K$4:$K$503,0)),"")</f>
        <v/>
      </c>
    </row>
    <row r="33" spans="1:7">
      <c r="A33" s="1" t="str">
        <f>IFERROR(INDEX(Players!$B$4:$B$503,MATCH(30,Players!$K$4:$K$503,0)),"")</f>
        <v/>
      </c>
      <c r="B33" s="1" t="str">
        <f>IFERROR(INDEX(Players!$C$4:$C$503,MATCH(30,Players!$K$4:$K$503,0)),"")</f>
        <v/>
      </c>
      <c r="C33" s="1" t="str">
        <f>IFERROR(INDEX(Players!$D$4:$D$503,MATCH(30,Players!$K$4:$K$503,0)),"")</f>
        <v/>
      </c>
      <c r="D33" s="7" t="str">
        <f>IFERROR(INDEX(Players!$E$4:$E$503,MATCH(30,Players!$K$4:$K$503,0)),"")</f>
        <v/>
      </c>
      <c r="E33" s="1" t="str">
        <f>IFERROR(INDEX(Players!$G$4:$G$503,MATCH(30,Players!$K$4:$K$503,0)),"")</f>
        <v/>
      </c>
      <c r="F33" s="7" t="str">
        <f>IFERROR(INDEX(Players!$H$4:$H$503,MATCH(30,Players!$K$4:$K$503,0)),"")</f>
        <v/>
      </c>
      <c r="G33" s="1" t="str">
        <f>IFERROR(INDEX(Players!$I$4:$I$503,MATCH(30,Players!$K$4:$K$503,0)),"")</f>
        <v/>
      </c>
    </row>
    <row r="34" spans="1:7">
      <c r="A34" s="1" t="str">
        <f>IFERROR(INDEX(Players!$B$4:$B$503,MATCH(31,Players!$K$4:$K$503,0)),"")</f>
        <v/>
      </c>
      <c r="B34" s="1" t="str">
        <f>IFERROR(INDEX(Players!$C$4:$C$503,MATCH(31,Players!$K$4:$K$503,0)),"")</f>
        <v/>
      </c>
      <c r="C34" s="1" t="str">
        <f>IFERROR(INDEX(Players!$D$4:$D$503,MATCH(31,Players!$K$4:$K$503,0)),"")</f>
        <v/>
      </c>
      <c r="D34" s="7" t="str">
        <f>IFERROR(INDEX(Players!$E$4:$E$503,MATCH(31,Players!$K$4:$K$503,0)),"")</f>
        <v/>
      </c>
      <c r="E34" s="1" t="str">
        <f>IFERROR(INDEX(Players!$G$4:$G$503,MATCH(31,Players!$K$4:$K$503,0)),"")</f>
        <v/>
      </c>
      <c r="F34" s="7" t="str">
        <f>IFERROR(INDEX(Players!$H$4:$H$503,MATCH(31,Players!$K$4:$K$503,0)),"")</f>
        <v/>
      </c>
      <c r="G34" s="1" t="str">
        <f>IFERROR(INDEX(Players!$I$4:$I$503,MATCH(31,Players!$K$4:$K$503,0)),"")</f>
        <v/>
      </c>
    </row>
    <row r="35" spans="1:7">
      <c r="A35" s="1" t="str">
        <f>IFERROR(INDEX(Players!$B$4:$B$503,MATCH(32,Players!$K$4:$K$503,0)),"")</f>
        <v/>
      </c>
      <c r="B35" s="1" t="str">
        <f>IFERROR(INDEX(Players!$C$4:$C$503,MATCH(32,Players!$K$4:$K$503,0)),"")</f>
        <v/>
      </c>
      <c r="C35" s="1" t="str">
        <f>IFERROR(INDEX(Players!$D$4:$D$503,MATCH(32,Players!$K$4:$K$503,0)),"")</f>
        <v/>
      </c>
      <c r="D35" s="7" t="str">
        <f>IFERROR(INDEX(Players!$E$4:$E$503,MATCH(32,Players!$K$4:$K$503,0)),"")</f>
        <v/>
      </c>
      <c r="E35" s="1" t="str">
        <f>IFERROR(INDEX(Players!$G$4:$G$503,MATCH(32,Players!$K$4:$K$503,0)),"")</f>
        <v/>
      </c>
      <c r="F35" s="7" t="str">
        <f>IFERROR(INDEX(Players!$H$4:$H$503,MATCH(32,Players!$K$4:$K$503,0)),"")</f>
        <v/>
      </c>
      <c r="G35" s="1" t="str">
        <f>IFERROR(INDEX(Players!$I$4:$I$503,MATCH(32,Players!$K$4:$K$503,0)),"")</f>
        <v/>
      </c>
    </row>
    <row r="36" spans="1:7">
      <c r="A36" s="1" t="str">
        <f>IFERROR(INDEX(Players!$B$4:$B$503,MATCH(33,Players!$K$4:$K$503,0)),"")</f>
        <v/>
      </c>
      <c r="B36" s="1" t="str">
        <f>IFERROR(INDEX(Players!$C$4:$C$503,MATCH(33,Players!$K$4:$K$503,0)),"")</f>
        <v/>
      </c>
      <c r="C36" s="1" t="str">
        <f>IFERROR(INDEX(Players!$D$4:$D$503,MATCH(33,Players!$K$4:$K$503,0)),"")</f>
        <v/>
      </c>
      <c r="D36" s="7" t="str">
        <f>IFERROR(INDEX(Players!$E$4:$E$503,MATCH(33,Players!$K$4:$K$503,0)),"")</f>
        <v/>
      </c>
      <c r="E36" s="1" t="str">
        <f>IFERROR(INDEX(Players!$G$4:$G$503,MATCH(33,Players!$K$4:$K$503,0)),"")</f>
        <v/>
      </c>
      <c r="F36" s="7" t="str">
        <f>IFERROR(INDEX(Players!$H$4:$H$503,MATCH(33,Players!$K$4:$K$503,0)),"")</f>
        <v/>
      </c>
      <c r="G36" s="1" t="str">
        <f>IFERROR(INDEX(Players!$I$4:$I$503,MATCH(33,Players!$K$4:$K$503,0)),"")</f>
        <v/>
      </c>
    </row>
    <row r="37" spans="1:7">
      <c r="A37" s="1" t="str">
        <f>IFERROR(INDEX(Players!$B$4:$B$503,MATCH(34,Players!$K$4:$K$503,0)),"")</f>
        <v/>
      </c>
      <c r="B37" s="1" t="str">
        <f>IFERROR(INDEX(Players!$C$4:$C$503,MATCH(34,Players!$K$4:$K$503,0)),"")</f>
        <v/>
      </c>
      <c r="C37" s="1" t="str">
        <f>IFERROR(INDEX(Players!$D$4:$D$503,MATCH(34,Players!$K$4:$K$503,0)),"")</f>
        <v/>
      </c>
      <c r="D37" s="7" t="str">
        <f>IFERROR(INDEX(Players!$E$4:$E$503,MATCH(34,Players!$K$4:$K$503,0)),"")</f>
        <v/>
      </c>
      <c r="E37" s="1" t="str">
        <f>IFERROR(INDEX(Players!$G$4:$G$503,MATCH(34,Players!$K$4:$K$503,0)),"")</f>
        <v/>
      </c>
      <c r="F37" s="7" t="str">
        <f>IFERROR(INDEX(Players!$H$4:$H$503,MATCH(34,Players!$K$4:$K$503,0)),"")</f>
        <v/>
      </c>
      <c r="G37" s="1" t="str">
        <f>IFERROR(INDEX(Players!$I$4:$I$503,MATCH(34,Players!$K$4:$K$503,0)),"")</f>
        <v/>
      </c>
    </row>
    <row r="38" spans="1:7">
      <c r="A38" s="1" t="str">
        <f>IFERROR(INDEX(Players!$B$4:$B$503,MATCH(35,Players!$K$4:$K$503,0)),"")</f>
        <v/>
      </c>
      <c r="B38" s="1" t="str">
        <f>IFERROR(INDEX(Players!$C$4:$C$503,MATCH(35,Players!$K$4:$K$503,0)),"")</f>
        <v/>
      </c>
      <c r="C38" s="1" t="str">
        <f>IFERROR(INDEX(Players!$D$4:$D$503,MATCH(35,Players!$K$4:$K$503,0)),"")</f>
        <v/>
      </c>
      <c r="D38" s="7" t="str">
        <f>IFERROR(INDEX(Players!$E$4:$E$503,MATCH(35,Players!$K$4:$K$503,0)),"")</f>
        <v/>
      </c>
      <c r="E38" s="1" t="str">
        <f>IFERROR(INDEX(Players!$G$4:$G$503,MATCH(35,Players!$K$4:$K$503,0)),"")</f>
        <v/>
      </c>
      <c r="F38" s="7" t="str">
        <f>IFERROR(INDEX(Players!$H$4:$H$503,MATCH(35,Players!$K$4:$K$503,0)),"")</f>
        <v/>
      </c>
      <c r="G38" s="1" t="str">
        <f>IFERROR(INDEX(Players!$I$4:$I$503,MATCH(35,Players!$K$4:$K$503,0)),"")</f>
        <v/>
      </c>
    </row>
    <row r="39" spans="1:7">
      <c r="A39" s="1" t="str">
        <f>IFERROR(INDEX(Players!$B$4:$B$503,MATCH(36,Players!$K$4:$K$503,0)),"")</f>
        <v/>
      </c>
      <c r="B39" s="1" t="str">
        <f>IFERROR(INDEX(Players!$C$4:$C$503,MATCH(36,Players!$K$4:$K$503,0)),"")</f>
        <v/>
      </c>
      <c r="C39" s="1" t="str">
        <f>IFERROR(INDEX(Players!$D$4:$D$503,MATCH(36,Players!$K$4:$K$503,0)),"")</f>
        <v/>
      </c>
      <c r="D39" s="7" t="str">
        <f>IFERROR(INDEX(Players!$E$4:$E$503,MATCH(36,Players!$K$4:$K$503,0)),"")</f>
        <v/>
      </c>
      <c r="E39" s="1" t="str">
        <f>IFERROR(INDEX(Players!$G$4:$G$503,MATCH(36,Players!$K$4:$K$503,0)),"")</f>
        <v/>
      </c>
      <c r="F39" s="7" t="str">
        <f>IFERROR(INDEX(Players!$H$4:$H$503,MATCH(36,Players!$K$4:$K$503,0)),"")</f>
        <v/>
      </c>
      <c r="G39" s="1" t="str">
        <f>IFERROR(INDEX(Players!$I$4:$I$503,MATCH(36,Players!$K$4:$K$503,0)),"")</f>
        <v/>
      </c>
    </row>
    <row r="40" spans="1:7">
      <c r="A40" s="1" t="str">
        <f>IFERROR(INDEX(Players!$B$4:$B$503,MATCH(37,Players!$K$4:$K$503,0)),"")</f>
        <v/>
      </c>
      <c r="B40" s="1" t="str">
        <f>IFERROR(INDEX(Players!$C$4:$C$503,MATCH(37,Players!$K$4:$K$503,0)),"")</f>
        <v/>
      </c>
      <c r="C40" s="1" t="str">
        <f>IFERROR(INDEX(Players!$D$4:$D$503,MATCH(37,Players!$K$4:$K$503,0)),"")</f>
        <v/>
      </c>
      <c r="D40" s="7" t="str">
        <f>IFERROR(INDEX(Players!$E$4:$E$503,MATCH(37,Players!$K$4:$K$503,0)),"")</f>
        <v/>
      </c>
      <c r="E40" s="1" t="str">
        <f>IFERROR(INDEX(Players!$G$4:$G$503,MATCH(37,Players!$K$4:$K$503,0)),"")</f>
        <v/>
      </c>
      <c r="F40" s="7" t="str">
        <f>IFERROR(INDEX(Players!$H$4:$H$503,MATCH(37,Players!$K$4:$K$503,0)),"")</f>
        <v/>
      </c>
      <c r="G40" s="1" t="str">
        <f>IFERROR(INDEX(Players!$I$4:$I$503,MATCH(37,Players!$K$4:$K$503,0)),"")</f>
        <v/>
      </c>
    </row>
    <row r="41" spans="1:7">
      <c r="A41" s="1" t="str">
        <f>IFERROR(INDEX(Players!$B$4:$B$503,MATCH(38,Players!$K$4:$K$503,0)),"")</f>
        <v/>
      </c>
      <c r="B41" s="1" t="str">
        <f>IFERROR(INDEX(Players!$C$4:$C$503,MATCH(38,Players!$K$4:$K$503,0)),"")</f>
        <v/>
      </c>
      <c r="C41" s="1" t="str">
        <f>IFERROR(INDEX(Players!$D$4:$D$503,MATCH(38,Players!$K$4:$K$503,0)),"")</f>
        <v/>
      </c>
      <c r="D41" s="7" t="str">
        <f>IFERROR(INDEX(Players!$E$4:$E$503,MATCH(38,Players!$K$4:$K$503,0)),"")</f>
        <v/>
      </c>
      <c r="E41" s="1" t="str">
        <f>IFERROR(INDEX(Players!$G$4:$G$503,MATCH(38,Players!$K$4:$K$503,0)),"")</f>
        <v/>
      </c>
      <c r="F41" s="7" t="str">
        <f>IFERROR(INDEX(Players!$H$4:$H$503,MATCH(38,Players!$K$4:$K$503,0)),"")</f>
        <v/>
      </c>
      <c r="G41" s="1" t="str">
        <f>IFERROR(INDEX(Players!$I$4:$I$503,MATCH(38,Players!$K$4:$K$503,0)),"")</f>
        <v/>
      </c>
    </row>
    <row r="42" spans="1:7">
      <c r="A42" s="1" t="str">
        <f>IFERROR(INDEX(Players!$B$4:$B$503,MATCH(39,Players!$K$4:$K$503,0)),"")</f>
        <v/>
      </c>
      <c r="B42" s="1" t="str">
        <f>IFERROR(INDEX(Players!$C$4:$C$503,MATCH(39,Players!$K$4:$K$503,0)),"")</f>
        <v/>
      </c>
      <c r="C42" s="1" t="str">
        <f>IFERROR(INDEX(Players!$D$4:$D$503,MATCH(39,Players!$K$4:$K$503,0)),"")</f>
        <v/>
      </c>
      <c r="D42" s="7" t="str">
        <f>IFERROR(INDEX(Players!$E$4:$E$503,MATCH(39,Players!$K$4:$K$503,0)),"")</f>
        <v/>
      </c>
      <c r="E42" s="1" t="str">
        <f>IFERROR(INDEX(Players!$G$4:$G$503,MATCH(39,Players!$K$4:$K$503,0)),"")</f>
        <v/>
      </c>
      <c r="F42" s="7" t="str">
        <f>IFERROR(INDEX(Players!$H$4:$H$503,MATCH(39,Players!$K$4:$K$503,0)),"")</f>
        <v/>
      </c>
      <c r="G42" s="1" t="str">
        <f>IFERROR(INDEX(Players!$I$4:$I$503,MATCH(39,Players!$K$4:$K$503,0)),"")</f>
        <v/>
      </c>
    </row>
    <row r="43" spans="1:7">
      <c r="A43" s="1" t="str">
        <f>IFERROR(INDEX(Players!$B$4:$B$503,MATCH(40,Players!$K$4:$K$503,0)),"")</f>
        <v/>
      </c>
      <c r="B43" s="1" t="str">
        <f>IFERROR(INDEX(Players!$C$4:$C$503,MATCH(40,Players!$K$4:$K$503,0)),"")</f>
        <v/>
      </c>
      <c r="C43" s="1" t="str">
        <f>IFERROR(INDEX(Players!$D$4:$D$503,MATCH(40,Players!$K$4:$K$503,0)),"")</f>
        <v/>
      </c>
      <c r="D43" s="7" t="str">
        <f>IFERROR(INDEX(Players!$E$4:$E$503,MATCH(40,Players!$K$4:$K$503,0)),"")</f>
        <v/>
      </c>
      <c r="E43" s="1" t="str">
        <f>IFERROR(INDEX(Players!$G$4:$G$503,MATCH(40,Players!$K$4:$K$503,0)),"")</f>
        <v/>
      </c>
      <c r="F43" s="7" t="str">
        <f>IFERROR(INDEX(Players!$H$4:$H$503,MATCH(40,Players!$K$4:$K$503,0)),"")</f>
        <v/>
      </c>
      <c r="G43" s="1" t="str">
        <f>IFERROR(INDEX(Players!$I$4:$I$503,MATCH(40,Players!$K$4:$K$503,0)),"")</f>
        <v/>
      </c>
    </row>
    <row r="44" spans="1:7">
      <c r="A44" s="1" t="str">
        <f>IFERROR(INDEX(Players!$B$4:$B$503,MATCH(41,Players!$K$4:$K$503,0)),"")</f>
        <v/>
      </c>
      <c r="B44" s="1" t="str">
        <f>IFERROR(INDEX(Players!$C$4:$C$503,MATCH(41,Players!$K$4:$K$503,0)),"")</f>
        <v/>
      </c>
      <c r="C44" s="1" t="str">
        <f>IFERROR(INDEX(Players!$D$4:$D$503,MATCH(41,Players!$K$4:$K$503,0)),"")</f>
        <v/>
      </c>
      <c r="D44" s="7" t="str">
        <f>IFERROR(INDEX(Players!$E$4:$E$503,MATCH(41,Players!$K$4:$K$503,0)),"")</f>
        <v/>
      </c>
      <c r="E44" s="1" t="str">
        <f>IFERROR(INDEX(Players!$G$4:$G$503,MATCH(41,Players!$K$4:$K$503,0)),"")</f>
        <v/>
      </c>
      <c r="F44" s="7" t="str">
        <f>IFERROR(INDEX(Players!$H$4:$H$503,MATCH(41,Players!$K$4:$K$503,0)),"")</f>
        <v/>
      </c>
      <c r="G44" s="1" t="str">
        <f>IFERROR(INDEX(Players!$I$4:$I$503,MATCH(41,Players!$K$4:$K$503,0)),"")</f>
        <v/>
      </c>
    </row>
    <row r="45" spans="1:7">
      <c r="A45" s="1" t="str">
        <f>IFERROR(INDEX(Players!$B$4:$B$503,MATCH(42,Players!$K$4:$K$503,0)),"")</f>
        <v/>
      </c>
      <c r="B45" s="1" t="str">
        <f>IFERROR(INDEX(Players!$C$4:$C$503,MATCH(42,Players!$K$4:$K$503,0)),"")</f>
        <v/>
      </c>
      <c r="C45" s="1" t="str">
        <f>IFERROR(INDEX(Players!$D$4:$D$503,MATCH(42,Players!$K$4:$K$503,0)),"")</f>
        <v/>
      </c>
      <c r="D45" s="7" t="str">
        <f>IFERROR(INDEX(Players!$E$4:$E$503,MATCH(42,Players!$K$4:$K$503,0)),"")</f>
        <v/>
      </c>
      <c r="E45" s="1" t="str">
        <f>IFERROR(INDEX(Players!$G$4:$G$503,MATCH(42,Players!$K$4:$K$503,0)),"")</f>
        <v/>
      </c>
      <c r="F45" s="7" t="str">
        <f>IFERROR(INDEX(Players!$H$4:$H$503,MATCH(42,Players!$K$4:$K$503,0)),"")</f>
        <v/>
      </c>
      <c r="G45" s="1" t="str">
        <f>IFERROR(INDEX(Players!$I$4:$I$503,MATCH(42,Players!$K$4:$K$503,0)),"")</f>
        <v/>
      </c>
    </row>
    <row r="46" spans="1:7">
      <c r="A46" s="1" t="str">
        <f>IFERROR(INDEX(Players!$B$4:$B$503,MATCH(43,Players!$K$4:$K$503,0)),"")</f>
        <v/>
      </c>
      <c r="B46" s="1" t="str">
        <f>IFERROR(INDEX(Players!$C$4:$C$503,MATCH(43,Players!$K$4:$K$503,0)),"")</f>
        <v/>
      </c>
      <c r="C46" s="1" t="str">
        <f>IFERROR(INDEX(Players!$D$4:$D$503,MATCH(43,Players!$K$4:$K$503,0)),"")</f>
        <v/>
      </c>
      <c r="D46" s="7" t="str">
        <f>IFERROR(INDEX(Players!$E$4:$E$503,MATCH(43,Players!$K$4:$K$503,0)),"")</f>
        <v/>
      </c>
      <c r="E46" s="1" t="str">
        <f>IFERROR(INDEX(Players!$G$4:$G$503,MATCH(43,Players!$K$4:$K$503,0)),"")</f>
        <v/>
      </c>
      <c r="F46" s="7" t="str">
        <f>IFERROR(INDEX(Players!$H$4:$H$503,MATCH(43,Players!$K$4:$K$503,0)),"")</f>
        <v/>
      </c>
      <c r="G46" s="1" t="str">
        <f>IFERROR(INDEX(Players!$I$4:$I$503,MATCH(43,Players!$K$4:$K$503,0)),"")</f>
        <v/>
      </c>
    </row>
    <row r="47" spans="1:7">
      <c r="A47" s="1" t="str">
        <f>IFERROR(INDEX(Players!$B$4:$B$503,MATCH(44,Players!$K$4:$K$503,0)),"")</f>
        <v/>
      </c>
      <c r="B47" s="1" t="str">
        <f>IFERROR(INDEX(Players!$C$4:$C$503,MATCH(44,Players!$K$4:$K$503,0)),"")</f>
        <v/>
      </c>
      <c r="C47" s="1" t="str">
        <f>IFERROR(INDEX(Players!$D$4:$D$503,MATCH(44,Players!$K$4:$K$503,0)),"")</f>
        <v/>
      </c>
      <c r="D47" s="7" t="str">
        <f>IFERROR(INDEX(Players!$E$4:$E$503,MATCH(44,Players!$K$4:$K$503,0)),"")</f>
        <v/>
      </c>
      <c r="E47" s="1" t="str">
        <f>IFERROR(INDEX(Players!$G$4:$G$503,MATCH(44,Players!$K$4:$K$503,0)),"")</f>
        <v/>
      </c>
      <c r="F47" s="7" t="str">
        <f>IFERROR(INDEX(Players!$H$4:$H$503,MATCH(44,Players!$K$4:$K$503,0)),"")</f>
        <v/>
      </c>
      <c r="G47" s="1" t="str">
        <f>IFERROR(INDEX(Players!$I$4:$I$503,MATCH(44,Players!$K$4:$K$503,0)),"")</f>
        <v/>
      </c>
    </row>
    <row r="48" spans="1:7">
      <c r="A48" s="1" t="str">
        <f>IFERROR(INDEX(Players!$B$4:$B$503,MATCH(45,Players!$K$4:$K$503,0)),"")</f>
        <v/>
      </c>
      <c r="B48" s="1" t="str">
        <f>IFERROR(INDEX(Players!$C$4:$C$503,MATCH(45,Players!$K$4:$K$503,0)),"")</f>
        <v/>
      </c>
      <c r="C48" s="1" t="str">
        <f>IFERROR(INDEX(Players!$D$4:$D$503,MATCH(45,Players!$K$4:$K$503,0)),"")</f>
        <v/>
      </c>
      <c r="D48" s="7" t="str">
        <f>IFERROR(INDEX(Players!$E$4:$E$503,MATCH(45,Players!$K$4:$K$503,0)),"")</f>
        <v/>
      </c>
      <c r="E48" s="1" t="str">
        <f>IFERROR(INDEX(Players!$G$4:$G$503,MATCH(45,Players!$K$4:$K$503,0)),"")</f>
        <v/>
      </c>
      <c r="F48" s="7" t="str">
        <f>IFERROR(INDEX(Players!$H$4:$H$503,MATCH(45,Players!$K$4:$K$503,0)),"")</f>
        <v/>
      </c>
      <c r="G48" s="1" t="str">
        <f>IFERROR(INDEX(Players!$I$4:$I$503,MATCH(45,Players!$K$4:$K$503,0)),"")</f>
        <v/>
      </c>
    </row>
    <row r="49" spans="1:7">
      <c r="A49" s="1" t="str">
        <f>IFERROR(INDEX(Players!$B$4:$B$503,MATCH(46,Players!$K$4:$K$503,0)),"")</f>
        <v/>
      </c>
      <c r="B49" s="1" t="str">
        <f>IFERROR(INDEX(Players!$C$4:$C$503,MATCH(46,Players!$K$4:$K$503,0)),"")</f>
        <v/>
      </c>
      <c r="C49" s="1" t="str">
        <f>IFERROR(INDEX(Players!$D$4:$D$503,MATCH(46,Players!$K$4:$K$503,0)),"")</f>
        <v/>
      </c>
      <c r="D49" s="7" t="str">
        <f>IFERROR(INDEX(Players!$E$4:$E$503,MATCH(46,Players!$K$4:$K$503,0)),"")</f>
        <v/>
      </c>
      <c r="E49" s="1" t="str">
        <f>IFERROR(INDEX(Players!$G$4:$G$503,MATCH(46,Players!$K$4:$K$503,0)),"")</f>
        <v/>
      </c>
      <c r="F49" s="7" t="str">
        <f>IFERROR(INDEX(Players!$H$4:$H$503,MATCH(46,Players!$K$4:$K$503,0)),"")</f>
        <v/>
      </c>
      <c r="G49" s="1" t="str">
        <f>IFERROR(INDEX(Players!$I$4:$I$503,MATCH(46,Players!$K$4:$K$503,0)),"")</f>
        <v/>
      </c>
    </row>
    <row r="50" spans="1:7">
      <c r="A50" s="1" t="str">
        <f>IFERROR(INDEX(Players!$B$4:$B$503,MATCH(47,Players!$K$4:$K$503,0)),"")</f>
        <v/>
      </c>
      <c r="B50" s="1" t="str">
        <f>IFERROR(INDEX(Players!$C$4:$C$503,MATCH(47,Players!$K$4:$K$503,0)),"")</f>
        <v/>
      </c>
      <c r="C50" s="1" t="str">
        <f>IFERROR(INDEX(Players!$D$4:$D$503,MATCH(47,Players!$K$4:$K$503,0)),"")</f>
        <v/>
      </c>
      <c r="D50" s="7" t="str">
        <f>IFERROR(INDEX(Players!$E$4:$E$503,MATCH(47,Players!$K$4:$K$503,0)),"")</f>
        <v/>
      </c>
      <c r="E50" s="1" t="str">
        <f>IFERROR(INDEX(Players!$G$4:$G$503,MATCH(47,Players!$K$4:$K$503,0)),"")</f>
        <v/>
      </c>
      <c r="F50" s="7" t="str">
        <f>IFERROR(INDEX(Players!$H$4:$H$503,MATCH(47,Players!$K$4:$K$503,0)),"")</f>
        <v/>
      </c>
      <c r="G50" s="1" t="str">
        <f>IFERROR(INDEX(Players!$I$4:$I$503,MATCH(47,Players!$K$4:$K$503,0)),"")</f>
        <v/>
      </c>
    </row>
    <row r="51" spans="1:7">
      <c r="A51" s="1" t="str">
        <f>IFERROR(INDEX(Players!$B$4:$B$503,MATCH(48,Players!$K$4:$K$503,0)),"")</f>
        <v/>
      </c>
      <c r="B51" s="1" t="str">
        <f>IFERROR(INDEX(Players!$C$4:$C$503,MATCH(48,Players!$K$4:$K$503,0)),"")</f>
        <v/>
      </c>
      <c r="C51" s="1" t="str">
        <f>IFERROR(INDEX(Players!$D$4:$D$503,MATCH(48,Players!$K$4:$K$503,0)),"")</f>
        <v/>
      </c>
      <c r="D51" s="7" t="str">
        <f>IFERROR(INDEX(Players!$E$4:$E$503,MATCH(48,Players!$K$4:$K$503,0)),"")</f>
        <v/>
      </c>
      <c r="E51" s="1" t="str">
        <f>IFERROR(INDEX(Players!$G$4:$G$503,MATCH(48,Players!$K$4:$K$503,0)),"")</f>
        <v/>
      </c>
      <c r="F51" s="7" t="str">
        <f>IFERROR(INDEX(Players!$H$4:$H$503,MATCH(48,Players!$K$4:$K$503,0)),"")</f>
        <v/>
      </c>
      <c r="G51" s="1" t="str">
        <f>IFERROR(INDEX(Players!$I$4:$I$503,MATCH(48,Players!$K$4:$K$503,0)),"")</f>
        <v/>
      </c>
    </row>
    <row r="52" spans="1:7">
      <c r="A52" s="1" t="str">
        <f>IFERROR(INDEX(Players!$B$4:$B$503,MATCH(49,Players!$K$4:$K$503,0)),"")</f>
        <v/>
      </c>
      <c r="B52" s="1" t="str">
        <f>IFERROR(INDEX(Players!$C$4:$C$503,MATCH(49,Players!$K$4:$K$503,0)),"")</f>
        <v/>
      </c>
      <c r="C52" s="1" t="str">
        <f>IFERROR(INDEX(Players!$D$4:$D$503,MATCH(49,Players!$K$4:$K$503,0)),"")</f>
        <v/>
      </c>
      <c r="D52" s="7" t="str">
        <f>IFERROR(INDEX(Players!$E$4:$E$503,MATCH(49,Players!$K$4:$K$503,0)),"")</f>
        <v/>
      </c>
      <c r="E52" s="1" t="str">
        <f>IFERROR(INDEX(Players!$G$4:$G$503,MATCH(49,Players!$K$4:$K$503,0)),"")</f>
        <v/>
      </c>
      <c r="F52" s="7" t="str">
        <f>IFERROR(INDEX(Players!$H$4:$H$503,MATCH(49,Players!$K$4:$K$503,0)),"")</f>
        <v/>
      </c>
      <c r="G52" s="1" t="str">
        <f>IFERROR(INDEX(Players!$I$4:$I$503,MATCH(49,Players!$K$4:$K$503,0)),"")</f>
        <v/>
      </c>
    </row>
    <row r="53" spans="1:7">
      <c r="A53" s="1" t="str">
        <f>IFERROR(INDEX(Players!$B$4:$B$503,MATCH(50,Players!$K$4:$K$503,0)),"")</f>
        <v/>
      </c>
      <c r="B53" s="1" t="str">
        <f>IFERROR(INDEX(Players!$C$4:$C$503,MATCH(50,Players!$K$4:$K$503,0)),"")</f>
        <v/>
      </c>
      <c r="C53" s="1" t="str">
        <f>IFERROR(INDEX(Players!$D$4:$D$503,MATCH(50,Players!$K$4:$K$503,0)),"")</f>
        <v/>
      </c>
      <c r="D53" s="7" t="str">
        <f>IFERROR(INDEX(Players!$E$4:$E$503,MATCH(50,Players!$K$4:$K$503,0)),"")</f>
        <v/>
      </c>
      <c r="E53" s="1" t="str">
        <f>IFERROR(INDEX(Players!$G$4:$G$503,MATCH(50,Players!$K$4:$K$503,0)),"")</f>
        <v/>
      </c>
      <c r="F53" s="7" t="str">
        <f>IFERROR(INDEX(Players!$H$4:$H$503,MATCH(50,Players!$K$4:$K$503,0)),"")</f>
        <v/>
      </c>
      <c r="G53" s="1" t="str">
        <f>IFERROR(INDEX(Players!$I$4:$I$503,MATCH(50,Players!$K$4:$K$503,0)),"")</f>
        <v/>
      </c>
    </row>
    <row r="54" spans="1:7">
      <c r="A54" s="1" t="str">
        <f>IFERROR(INDEX(Players!$B$4:$B$503,MATCH(51,Players!$K$4:$K$503,0)),"")</f>
        <v/>
      </c>
      <c r="B54" s="1" t="str">
        <f>IFERROR(INDEX(Players!$C$4:$C$503,MATCH(51,Players!$K$4:$K$503,0)),"")</f>
        <v/>
      </c>
      <c r="C54" s="1" t="str">
        <f>IFERROR(INDEX(Players!$D$4:$D$503,MATCH(51,Players!$K$4:$K$503,0)),"")</f>
        <v/>
      </c>
      <c r="D54" s="7" t="str">
        <f>IFERROR(INDEX(Players!$E$4:$E$503,MATCH(51,Players!$K$4:$K$503,0)),"")</f>
        <v/>
      </c>
      <c r="E54" s="1" t="str">
        <f>IFERROR(INDEX(Players!$G$4:$G$503,MATCH(51,Players!$K$4:$K$503,0)),"")</f>
        <v/>
      </c>
      <c r="F54" s="7" t="str">
        <f>IFERROR(INDEX(Players!$H$4:$H$503,MATCH(51,Players!$K$4:$K$503,0)),"")</f>
        <v/>
      </c>
      <c r="G54" s="1" t="str">
        <f>IFERROR(INDEX(Players!$I$4:$I$503,MATCH(51,Players!$K$4:$K$503,0)),"")</f>
        <v/>
      </c>
    </row>
    <row r="55" spans="1:7">
      <c r="A55" s="1" t="str">
        <f>IFERROR(INDEX(Players!$B$4:$B$503,MATCH(52,Players!$K$4:$K$503,0)),"")</f>
        <v/>
      </c>
      <c r="B55" s="1" t="str">
        <f>IFERROR(INDEX(Players!$C$4:$C$503,MATCH(52,Players!$K$4:$K$503,0)),"")</f>
        <v/>
      </c>
      <c r="C55" s="1" t="str">
        <f>IFERROR(INDEX(Players!$D$4:$D$503,MATCH(52,Players!$K$4:$K$503,0)),"")</f>
        <v/>
      </c>
      <c r="D55" s="7" t="str">
        <f>IFERROR(INDEX(Players!$E$4:$E$503,MATCH(52,Players!$K$4:$K$503,0)),"")</f>
        <v/>
      </c>
      <c r="E55" s="1" t="str">
        <f>IFERROR(INDEX(Players!$G$4:$G$503,MATCH(52,Players!$K$4:$K$503,0)),"")</f>
        <v/>
      </c>
      <c r="F55" s="7" t="str">
        <f>IFERROR(INDEX(Players!$H$4:$H$503,MATCH(52,Players!$K$4:$K$503,0)),"")</f>
        <v/>
      </c>
      <c r="G55" s="1" t="str">
        <f>IFERROR(INDEX(Players!$I$4:$I$503,MATCH(52,Players!$K$4:$K$503,0)),"")</f>
        <v/>
      </c>
    </row>
    <row r="56" spans="1:7">
      <c r="A56" s="1" t="str">
        <f>IFERROR(INDEX(Players!$B$4:$B$503,MATCH(53,Players!$K$4:$K$503,0)),"")</f>
        <v/>
      </c>
      <c r="B56" s="1" t="str">
        <f>IFERROR(INDEX(Players!$C$4:$C$503,MATCH(53,Players!$K$4:$K$503,0)),"")</f>
        <v/>
      </c>
      <c r="C56" s="1" t="str">
        <f>IFERROR(INDEX(Players!$D$4:$D$503,MATCH(53,Players!$K$4:$K$503,0)),"")</f>
        <v/>
      </c>
      <c r="D56" s="7" t="str">
        <f>IFERROR(INDEX(Players!$E$4:$E$503,MATCH(53,Players!$K$4:$K$503,0)),"")</f>
        <v/>
      </c>
      <c r="E56" s="1" t="str">
        <f>IFERROR(INDEX(Players!$G$4:$G$503,MATCH(53,Players!$K$4:$K$503,0)),"")</f>
        <v/>
      </c>
      <c r="F56" s="7" t="str">
        <f>IFERROR(INDEX(Players!$H$4:$H$503,MATCH(53,Players!$K$4:$K$503,0)),"")</f>
        <v/>
      </c>
      <c r="G56" s="1" t="str">
        <f>IFERROR(INDEX(Players!$I$4:$I$503,MATCH(53,Players!$K$4:$K$503,0)),"")</f>
        <v/>
      </c>
    </row>
    <row r="57" spans="1:7">
      <c r="A57" s="1" t="str">
        <f>IFERROR(INDEX(Players!$B$4:$B$503,MATCH(54,Players!$K$4:$K$503,0)),"")</f>
        <v/>
      </c>
      <c r="B57" s="1" t="str">
        <f>IFERROR(INDEX(Players!$C$4:$C$503,MATCH(54,Players!$K$4:$K$503,0)),"")</f>
        <v/>
      </c>
      <c r="C57" s="1" t="str">
        <f>IFERROR(INDEX(Players!$D$4:$D$503,MATCH(54,Players!$K$4:$K$503,0)),"")</f>
        <v/>
      </c>
      <c r="D57" s="7" t="str">
        <f>IFERROR(INDEX(Players!$E$4:$E$503,MATCH(54,Players!$K$4:$K$503,0)),"")</f>
        <v/>
      </c>
      <c r="E57" s="1" t="str">
        <f>IFERROR(INDEX(Players!$G$4:$G$503,MATCH(54,Players!$K$4:$K$503,0)),"")</f>
        <v/>
      </c>
      <c r="F57" s="7" t="str">
        <f>IFERROR(INDEX(Players!$H$4:$H$503,MATCH(54,Players!$K$4:$K$503,0)),"")</f>
        <v/>
      </c>
      <c r="G57" s="1" t="str">
        <f>IFERROR(INDEX(Players!$I$4:$I$503,MATCH(54,Players!$K$4:$K$503,0)),"")</f>
        <v/>
      </c>
    </row>
    <row r="58" spans="1:7">
      <c r="A58" s="1" t="str">
        <f>IFERROR(INDEX(Players!$B$4:$B$503,MATCH(55,Players!$K$4:$K$503,0)),"")</f>
        <v/>
      </c>
      <c r="B58" s="1" t="str">
        <f>IFERROR(INDEX(Players!$C$4:$C$503,MATCH(55,Players!$K$4:$K$503,0)),"")</f>
        <v/>
      </c>
      <c r="C58" s="1" t="str">
        <f>IFERROR(INDEX(Players!$D$4:$D$503,MATCH(55,Players!$K$4:$K$503,0)),"")</f>
        <v/>
      </c>
      <c r="D58" s="7" t="str">
        <f>IFERROR(INDEX(Players!$E$4:$E$503,MATCH(55,Players!$K$4:$K$503,0)),"")</f>
        <v/>
      </c>
      <c r="E58" s="1" t="str">
        <f>IFERROR(INDEX(Players!$G$4:$G$503,MATCH(55,Players!$K$4:$K$503,0)),"")</f>
        <v/>
      </c>
      <c r="F58" s="7" t="str">
        <f>IFERROR(INDEX(Players!$H$4:$H$503,MATCH(55,Players!$K$4:$K$503,0)),"")</f>
        <v/>
      </c>
      <c r="G58" s="1" t="str">
        <f>IFERROR(INDEX(Players!$I$4:$I$503,MATCH(55,Players!$K$4:$K$503,0)),"")</f>
        <v/>
      </c>
    </row>
    <row r="59" spans="1:7">
      <c r="A59" s="1" t="str">
        <f>IFERROR(INDEX(Players!$B$4:$B$503,MATCH(56,Players!$K$4:$K$503,0)),"")</f>
        <v/>
      </c>
      <c r="B59" s="1" t="str">
        <f>IFERROR(INDEX(Players!$C$4:$C$503,MATCH(56,Players!$K$4:$K$503,0)),"")</f>
        <v/>
      </c>
      <c r="C59" s="1" t="str">
        <f>IFERROR(INDEX(Players!$D$4:$D$503,MATCH(56,Players!$K$4:$K$503,0)),"")</f>
        <v/>
      </c>
      <c r="D59" s="7" t="str">
        <f>IFERROR(INDEX(Players!$E$4:$E$503,MATCH(56,Players!$K$4:$K$503,0)),"")</f>
        <v/>
      </c>
      <c r="E59" s="1" t="str">
        <f>IFERROR(INDEX(Players!$G$4:$G$503,MATCH(56,Players!$K$4:$K$503,0)),"")</f>
        <v/>
      </c>
      <c r="F59" s="7" t="str">
        <f>IFERROR(INDEX(Players!$H$4:$H$503,MATCH(56,Players!$K$4:$K$503,0)),"")</f>
        <v/>
      </c>
      <c r="G59" s="1" t="str">
        <f>IFERROR(INDEX(Players!$I$4:$I$503,MATCH(56,Players!$K$4:$K$503,0)),"")</f>
        <v/>
      </c>
    </row>
    <row r="60" spans="1:7">
      <c r="A60" s="1" t="str">
        <f>IFERROR(INDEX(Players!$B$4:$B$503,MATCH(57,Players!$K$4:$K$503,0)),"")</f>
        <v/>
      </c>
      <c r="B60" s="1" t="str">
        <f>IFERROR(INDEX(Players!$C$4:$C$503,MATCH(57,Players!$K$4:$K$503,0)),"")</f>
        <v/>
      </c>
      <c r="C60" s="1" t="str">
        <f>IFERROR(INDEX(Players!$D$4:$D$503,MATCH(57,Players!$K$4:$K$503,0)),"")</f>
        <v/>
      </c>
      <c r="D60" s="7" t="str">
        <f>IFERROR(INDEX(Players!$E$4:$E$503,MATCH(57,Players!$K$4:$K$503,0)),"")</f>
        <v/>
      </c>
      <c r="E60" s="1" t="str">
        <f>IFERROR(INDEX(Players!$G$4:$G$503,MATCH(57,Players!$K$4:$K$503,0)),"")</f>
        <v/>
      </c>
      <c r="F60" s="7" t="str">
        <f>IFERROR(INDEX(Players!$H$4:$H$503,MATCH(57,Players!$K$4:$K$503,0)),"")</f>
        <v/>
      </c>
      <c r="G60" s="1" t="str">
        <f>IFERROR(INDEX(Players!$I$4:$I$503,MATCH(57,Players!$K$4:$K$503,0)),"")</f>
        <v/>
      </c>
    </row>
    <row r="61" spans="1:7">
      <c r="A61" s="1" t="str">
        <f>IFERROR(INDEX(Players!$B$4:$B$503,MATCH(58,Players!$K$4:$K$503,0)),"")</f>
        <v/>
      </c>
      <c r="B61" s="1" t="str">
        <f>IFERROR(INDEX(Players!$C$4:$C$503,MATCH(58,Players!$K$4:$K$503,0)),"")</f>
        <v/>
      </c>
      <c r="C61" s="1" t="str">
        <f>IFERROR(INDEX(Players!$D$4:$D$503,MATCH(58,Players!$K$4:$K$503,0)),"")</f>
        <v/>
      </c>
      <c r="D61" s="7" t="str">
        <f>IFERROR(INDEX(Players!$E$4:$E$503,MATCH(58,Players!$K$4:$K$503,0)),"")</f>
        <v/>
      </c>
      <c r="E61" s="1" t="str">
        <f>IFERROR(INDEX(Players!$G$4:$G$503,MATCH(58,Players!$K$4:$K$503,0)),"")</f>
        <v/>
      </c>
      <c r="F61" s="7" t="str">
        <f>IFERROR(INDEX(Players!$H$4:$H$503,MATCH(58,Players!$K$4:$K$503,0)),"")</f>
        <v/>
      </c>
      <c r="G61" s="1" t="str">
        <f>IFERROR(INDEX(Players!$I$4:$I$503,MATCH(58,Players!$K$4:$K$503,0)),"")</f>
        <v/>
      </c>
    </row>
    <row r="62" spans="1:7">
      <c r="A62" s="1" t="str">
        <f>IFERROR(INDEX(Players!$B$4:$B$503,MATCH(59,Players!$K$4:$K$503,0)),"")</f>
        <v/>
      </c>
      <c r="B62" s="1" t="str">
        <f>IFERROR(INDEX(Players!$C$4:$C$503,MATCH(59,Players!$K$4:$K$503,0)),"")</f>
        <v/>
      </c>
      <c r="C62" s="1" t="str">
        <f>IFERROR(INDEX(Players!$D$4:$D$503,MATCH(59,Players!$K$4:$K$503,0)),"")</f>
        <v/>
      </c>
      <c r="D62" s="7" t="str">
        <f>IFERROR(INDEX(Players!$E$4:$E$503,MATCH(59,Players!$K$4:$K$503,0)),"")</f>
        <v/>
      </c>
      <c r="E62" s="1" t="str">
        <f>IFERROR(INDEX(Players!$G$4:$G$503,MATCH(59,Players!$K$4:$K$503,0)),"")</f>
        <v/>
      </c>
      <c r="F62" s="7" t="str">
        <f>IFERROR(INDEX(Players!$H$4:$H$503,MATCH(59,Players!$K$4:$K$503,0)),"")</f>
        <v/>
      </c>
      <c r="G62" s="1" t="str">
        <f>IFERROR(INDEX(Players!$I$4:$I$503,MATCH(59,Players!$K$4:$K$503,0)),"")</f>
        <v/>
      </c>
    </row>
    <row r="63" spans="1:7">
      <c r="A63" s="1" t="str">
        <f>IFERROR(INDEX(Players!$B$4:$B$503,MATCH(60,Players!$K$4:$K$503,0)),"")</f>
        <v/>
      </c>
      <c r="B63" s="1" t="str">
        <f>IFERROR(INDEX(Players!$C$4:$C$503,MATCH(60,Players!$K$4:$K$503,0)),"")</f>
        <v/>
      </c>
      <c r="C63" s="1" t="str">
        <f>IFERROR(INDEX(Players!$D$4:$D$503,MATCH(60,Players!$K$4:$K$503,0)),"")</f>
        <v/>
      </c>
      <c r="D63" s="7" t="str">
        <f>IFERROR(INDEX(Players!$E$4:$E$503,MATCH(60,Players!$K$4:$K$503,0)),"")</f>
        <v/>
      </c>
      <c r="E63" s="1" t="str">
        <f>IFERROR(INDEX(Players!$G$4:$G$503,MATCH(60,Players!$K$4:$K$503,0)),"")</f>
        <v/>
      </c>
      <c r="F63" s="7" t="str">
        <f>IFERROR(INDEX(Players!$H$4:$H$503,MATCH(60,Players!$K$4:$K$503,0)),"")</f>
        <v/>
      </c>
      <c r="G63" s="1" t="str">
        <f>IFERROR(INDEX(Players!$I$4:$I$503,MATCH(60,Players!$K$4:$K$503,0)),"")</f>
        <v/>
      </c>
    </row>
    <row r="64" spans="1:7">
      <c r="A64" s="1" t="str">
        <f>IFERROR(INDEX(Players!$B$4:$B$503,MATCH(61,Players!$K$4:$K$503,0)),"")</f>
        <v/>
      </c>
      <c r="B64" s="1" t="str">
        <f>IFERROR(INDEX(Players!$C$4:$C$503,MATCH(61,Players!$K$4:$K$503,0)),"")</f>
        <v/>
      </c>
      <c r="C64" s="1" t="str">
        <f>IFERROR(INDEX(Players!$D$4:$D$503,MATCH(61,Players!$K$4:$K$503,0)),"")</f>
        <v/>
      </c>
      <c r="D64" s="7" t="str">
        <f>IFERROR(INDEX(Players!$E$4:$E$503,MATCH(61,Players!$K$4:$K$503,0)),"")</f>
        <v/>
      </c>
      <c r="E64" s="1" t="str">
        <f>IFERROR(INDEX(Players!$G$4:$G$503,MATCH(61,Players!$K$4:$K$503,0)),"")</f>
        <v/>
      </c>
      <c r="F64" s="7" t="str">
        <f>IFERROR(INDEX(Players!$H$4:$H$503,MATCH(61,Players!$K$4:$K$503,0)),"")</f>
        <v/>
      </c>
      <c r="G64" s="1" t="str">
        <f>IFERROR(INDEX(Players!$I$4:$I$503,MATCH(61,Players!$K$4:$K$503,0)),"")</f>
        <v/>
      </c>
    </row>
    <row r="65" spans="1:7">
      <c r="A65" s="1" t="str">
        <f>IFERROR(INDEX(Players!$B$4:$B$503,MATCH(62,Players!$K$4:$K$503,0)),"")</f>
        <v/>
      </c>
      <c r="B65" s="1" t="str">
        <f>IFERROR(INDEX(Players!$C$4:$C$503,MATCH(62,Players!$K$4:$K$503,0)),"")</f>
        <v/>
      </c>
      <c r="C65" s="1" t="str">
        <f>IFERROR(INDEX(Players!$D$4:$D$503,MATCH(62,Players!$K$4:$K$503,0)),"")</f>
        <v/>
      </c>
      <c r="D65" s="7" t="str">
        <f>IFERROR(INDEX(Players!$E$4:$E$503,MATCH(62,Players!$K$4:$K$503,0)),"")</f>
        <v/>
      </c>
      <c r="E65" s="1" t="str">
        <f>IFERROR(INDEX(Players!$G$4:$G$503,MATCH(62,Players!$K$4:$K$503,0)),"")</f>
        <v/>
      </c>
      <c r="F65" s="7" t="str">
        <f>IFERROR(INDEX(Players!$H$4:$H$503,MATCH(62,Players!$K$4:$K$503,0)),"")</f>
        <v/>
      </c>
      <c r="G65" s="1" t="str">
        <f>IFERROR(INDEX(Players!$I$4:$I$503,MATCH(62,Players!$K$4:$K$503,0)),"")</f>
        <v/>
      </c>
    </row>
    <row r="66" spans="1:7">
      <c r="A66" s="1" t="str">
        <f>IFERROR(INDEX(Players!$B$4:$B$503,MATCH(63,Players!$K$4:$K$503,0)),"")</f>
        <v/>
      </c>
      <c r="B66" s="1" t="str">
        <f>IFERROR(INDEX(Players!$C$4:$C$503,MATCH(63,Players!$K$4:$K$503,0)),"")</f>
        <v/>
      </c>
      <c r="C66" s="1" t="str">
        <f>IFERROR(INDEX(Players!$D$4:$D$503,MATCH(63,Players!$K$4:$K$503,0)),"")</f>
        <v/>
      </c>
      <c r="D66" s="7" t="str">
        <f>IFERROR(INDEX(Players!$E$4:$E$503,MATCH(63,Players!$K$4:$K$503,0)),"")</f>
        <v/>
      </c>
      <c r="E66" s="1" t="str">
        <f>IFERROR(INDEX(Players!$G$4:$G$503,MATCH(63,Players!$K$4:$K$503,0)),"")</f>
        <v/>
      </c>
      <c r="F66" s="7" t="str">
        <f>IFERROR(INDEX(Players!$H$4:$H$503,MATCH(63,Players!$K$4:$K$503,0)),"")</f>
        <v/>
      </c>
      <c r="G66" s="1" t="str">
        <f>IFERROR(INDEX(Players!$I$4:$I$503,MATCH(63,Players!$K$4:$K$503,0)),"")</f>
        <v/>
      </c>
    </row>
    <row r="67" spans="1:7">
      <c r="A67" s="1" t="str">
        <f>IFERROR(INDEX(Players!$B$4:$B$503,MATCH(64,Players!$K$4:$K$503,0)),"")</f>
        <v/>
      </c>
      <c r="B67" s="1" t="str">
        <f>IFERROR(INDEX(Players!$C$4:$C$503,MATCH(64,Players!$K$4:$K$503,0)),"")</f>
        <v/>
      </c>
      <c r="C67" s="1" t="str">
        <f>IFERROR(INDEX(Players!$D$4:$D$503,MATCH(64,Players!$K$4:$K$503,0)),"")</f>
        <v/>
      </c>
      <c r="D67" s="7" t="str">
        <f>IFERROR(INDEX(Players!$E$4:$E$503,MATCH(64,Players!$K$4:$K$503,0)),"")</f>
        <v/>
      </c>
      <c r="E67" s="1" t="str">
        <f>IFERROR(INDEX(Players!$G$4:$G$503,MATCH(64,Players!$K$4:$K$503,0)),"")</f>
        <v/>
      </c>
      <c r="F67" s="7" t="str">
        <f>IFERROR(INDEX(Players!$H$4:$H$503,MATCH(64,Players!$K$4:$K$503,0)),"")</f>
        <v/>
      </c>
      <c r="G67" s="1" t="str">
        <f>IFERROR(INDEX(Players!$I$4:$I$503,MATCH(64,Players!$K$4:$K$503,0)),"")</f>
        <v/>
      </c>
    </row>
    <row r="68" spans="1:7">
      <c r="A68" s="1" t="str">
        <f>IFERROR(INDEX(Players!$B$4:$B$503,MATCH(65,Players!$K$4:$K$503,0)),"")</f>
        <v/>
      </c>
      <c r="B68" s="1" t="str">
        <f>IFERROR(INDEX(Players!$C$4:$C$503,MATCH(65,Players!$K$4:$K$503,0)),"")</f>
        <v/>
      </c>
      <c r="C68" s="1" t="str">
        <f>IFERROR(INDEX(Players!$D$4:$D$503,MATCH(65,Players!$K$4:$K$503,0)),"")</f>
        <v/>
      </c>
      <c r="D68" s="7" t="str">
        <f>IFERROR(INDEX(Players!$E$4:$E$503,MATCH(65,Players!$K$4:$K$503,0)),"")</f>
        <v/>
      </c>
      <c r="E68" s="1" t="str">
        <f>IFERROR(INDEX(Players!$G$4:$G$503,MATCH(65,Players!$K$4:$K$503,0)),"")</f>
        <v/>
      </c>
      <c r="F68" s="7" t="str">
        <f>IFERROR(INDEX(Players!$H$4:$H$503,MATCH(65,Players!$K$4:$K$503,0)),"")</f>
        <v/>
      </c>
      <c r="G68" s="1" t="str">
        <f>IFERROR(INDEX(Players!$I$4:$I$503,MATCH(65,Players!$K$4:$K$503,0)),"")</f>
        <v/>
      </c>
    </row>
    <row r="69" spans="1:7">
      <c r="A69" s="1" t="str">
        <f>IFERROR(INDEX(Players!$B$4:$B$503,MATCH(66,Players!$K$4:$K$503,0)),"")</f>
        <v/>
      </c>
      <c r="B69" s="1" t="str">
        <f>IFERROR(INDEX(Players!$C$4:$C$503,MATCH(66,Players!$K$4:$K$503,0)),"")</f>
        <v/>
      </c>
      <c r="C69" s="1" t="str">
        <f>IFERROR(INDEX(Players!$D$4:$D$503,MATCH(66,Players!$K$4:$K$503,0)),"")</f>
        <v/>
      </c>
      <c r="D69" s="7" t="str">
        <f>IFERROR(INDEX(Players!$E$4:$E$503,MATCH(66,Players!$K$4:$K$503,0)),"")</f>
        <v/>
      </c>
      <c r="E69" s="1" t="str">
        <f>IFERROR(INDEX(Players!$G$4:$G$503,MATCH(66,Players!$K$4:$K$503,0)),"")</f>
        <v/>
      </c>
      <c r="F69" s="7" t="str">
        <f>IFERROR(INDEX(Players!$H$4:$H$503,MATCH(66,Players!$K$4:$K$503,0)),"")</f>
        <v/>
      </c>
      <c r="G69" s="1" t="str">
        <f>IFERROR(INDEX(Players!$I$4:$I$503,MATCH(66,Players!$K$4:$K$503,0)),"")</f>
        <v/>
      </c>
    </row>
    <row r="70" spans="1:7">
      <c r="A70" s="1" t="str">
        <f>IFERROR(INDEX(Players!$B$4:$B$503,MATCH(67,Players!$K$4:$K$503,0)),"")</f>
        <v/>
      </c>
      <c r="B70" s="1" t="str">
        <f>IFERROR(INDEX(Players!$C$4:$C$503,MATCH(67,Players!$K$4:$K$503,0)),"")</f>
        <v/>
      </c>
      <c r="C70" s="1" t="str">
        <f>IFERROR(INDEX(Players!$D$4:$D$503,MATCH(67,Players!$K$4:$K$503,0)),"")</f>
        <v/>
      </c>
      <c r="D70" s="7" t="str">
        <f>IFERROR(INDEX(Players!$E$4:$E$503,MATCH(67,Players!$K$4:$K$503,0)),"")</f>
        <v/>
      </c>
      <c r="E70" s="1" t="str">
        <f>IFERROR(INDEX(Players!$G$4:$G$503,MATCH(67,Players!$K$4:$K$503,0)),"")</f>
        <v/>
      </c>
      <c r="F70" s="7" t="str">
        <f>IFERROR(INDEX(Players!$H$4:$H$503,MATCH(67,Players!$K$4:$K$503,0)),"")</f>
        <v/>
      </c>
      <c r="G70" s="1" t="str">
        <f>IFERROR(INDEX(Players!$I$4:$I$503,MATCH(67,Players!$K$4:$K$503,0)),"")</f>
        <v/>
      </c>
    </row>
    <row r="71" spans="1:7">
      <c r="A71" s="1" t="str">
        <f>IFERROR(INDEX(Players!$B$4:$B$503,MATCH(68,Players!$K$4:$K$503,0)),"")</f>
        <v/>
      </c>
      <c r="B71" s="1" t="str">
        <f>IFERROR(INDEX(Players!$C$4:$C$503,MATCH(68,Players!$K$4:$K$503,0)),"")</f>
        <v/>
      </c>
      <c r="C71" s="1" t="str">
        <f>IFERROR(INDEX(Players!$D$4:$D$503,MATCH(68,Players!$K$4:$K$503,0)),"")</f>
        <v/>
      </c>
      <c r="D71" s="7" t="str">
        <f>IFERROR(INDEX(Players!$E$4:$E$503,MATCH(68,Players!$K$4:$K$503,0)),"")</f>
        <v/>
      </c>
      <c r="E71" s="1" t="str">
        <f>IFERROR(INDEX(Players!$G$4:$G$503,MATCH(68,Players!$K$4:$K$503,0)),"")</f>
        <v/>
      </c>
      <c r="F71" s="7" t="str">
        <f>IFERROR(INDEX(Players!$H$4:$H$503,MATCH(68,Players!$K$4:$K$503,0)),"")</f>
        <v/>
      </c>
      <c r="G71" s="1" t="str">
        <f>IFERROR(INDEX(Players!$I$4:$I$503,MATCH(68,Players!$K$4:$K$503,0)),"")</f>
        <v/>
      </c>
    </row>
    <row r="72" spans="1:7">
      <c r="A72" s="1" t="str">
        <f>IFERROR(INDEX(Players!$B$4:$B$503,MATCH(69,Players!$K$4:$K$503,0)),"")</f>
        <v/>
      </c>
      <c r="B72" s="1" t="str">
        <f>IFERROR(INDEX(Players!$C$4:$C$503,MATCH(69,Players!$K$4:$K$503,0)),"")</f>
        <v/>
      </c>
      <c r="C72" s="1" t="str">
        <f>IFERROR(INDEX(Players!$D$4:$D$503,MATCH(69,Players!$K$4:$K$503,0)),"")</f>
        <v/>
      </c>
      <c r="D72" s="7" t="str">
        <f>IFERROR(INDEX(Players!$E$4:$E$503,MATCH(69,Players!$K$4:$K$503,0)),"")</f>
        <v/>
      </c>
      <c r="E72" s="1" t="str">
        <f>IFERROR(INDEX(Players!$G$4:$G$503,MATCH(69,Players!$K$4:$K$503,0)),"")</f>
        <v/>
      </c>
      <c r="F72" s="7" t="str">
        <f>IFERROR(INDEX(Players!$H$4:$H$503,MATCH(69,Players!$K$4:$K$503,0)),"")</f>
        <v/>
      </c>
      <c r="G72" s="1" t="str">
        <f>IFERROR(INDEX(Players!$I$4:$I$503,MATCH(69,Players!$K$4:$K$503,0)),"")</f>
        <v/>
      </c>
    </row>
    <row r="73" spans="1:7">
      <c r="A73" s="1" t="str">
        <f>IFERROR(INDEX(Players!$B$4:$B$503,MATCH(70,Players!$K$4:$K$503,0)),"")</f>
        <v/>
      </c>
      <c r="B73" s="1" t="str">
        <f>IFERROR(INDEX(Players!$C$4:$C$503,MATCH(70,Players!$K$4:$K$503,0)),"")</f>
        <v/>
      </c>
      <c r="C73" s="1" t="str">
        <f>IFERROR(INDEX(Players!$D$4:$D$503,MATCH(70,Players!$K$4:$K$503,0)),"")</f>
        <v/>
      </c>
      <c r="D73" s="7" t="str">
        <f>IFERROR(INDEX(Players!$E$4:$E$503,MATCH(70,Players!$K$4:$K$503,0)),"")</f>
        <v/>
      </c>
      <c r="E73" s="1" t="str">
        <f>IFERROR(INDEX(Players!$G$4:$G$503,MATCH(70,Players!$K$4:$K$503,0)),"")</f>
        <v/>
      </c>
      <c r="F73" s="7" t="str">
        <f>IFERROR(INDEX(Players!$H$4:$H$503,MATCH(70,Players!$K$4:$K$503,0)),"")</f>
        <v/>
      </c>
      <c r="G73" s="1" t="str">
        <f>IFERROR(INDEX(Players!$I$4:$I$503,MATCH(70,Players!$K$4:$K$503,0)),"")</f>
        <v/>
      </c>
    </row>
    <row r="74" spans="1:7">
      <c r="A74" s="1" t="str">
        <f>IFERROR(INDEX(Players!$B$4:$B$503,MATCH(71,Players!$K$4:$K$503,0)),"")</f>
        <v/>
      </c>
      <c r="B74" s="1" t="str">
        <f>IFERROR(INDEX(Players!$C$4:$C$503,MATCH(71,Players!$K$4:$K$503,0)),"")</f>
        <v/>
      </c>
      <c r="C74" s="1" t="str">
        <f>IFERROR(INDEX(Players!$D$4:$D$503,MATCH(71,Players!$K$4:$K$503,0)),"")</f>
        <v/>
      </c>
      <c r="D74" s="7" t="str">
        <f>IFERROR(INDEX(Players!$E$4:$E$503,MATCH(71,Players!$K$4:$K$503,0)),"")</f>
        <v/>
      </c>
      <c r="E74" s="1" t="str">
        <f>IFERROR(INDEX(Players!$G$4:$G$503,MATCH(71,Players!$K$4:$K$503,0)),"")</f>
        <v/>
      </c>
      <c r="F74" s="7" t="str">
        <f>IFERROR(INDEX(Players!$H$4:$H$503,MATCH(71,Players!$K$4:$K$503,0)),"")</f>
        <v/>
      </c>
      <c r="G74" s="1" t="str">
        <f>IFERROR(INDEX(Players!$I$4:$I$503,MATCH(71,Players!$K$4:$K$503,0)),"")</f>
        <v/>
      </c>
    </row>
    <row r="75" spans="1:7">
      <c r="A75" s="1" t="str">
        <f>IFERROR(INDEX(Players!$B$4:$B$503,MATCH(72,Players!$K$4:$K$503,0)),"")</f>
        <v/>
      </c>
      <c r="B75" s="1" t="str">
        <f>IFERROR(INDEX(Players!$C$4:$C$503,MATCH(72,Players!$K$4:$K$503,0)),"")</f>
        <v/>
      </c>
      <c r="C75" s="1" t="str">
        <f>IFERROR(INDEX(Players!$D$4:$D$503,MATCH(72,Players!$K$4:$K$503,0)),"")</f>
        <v/>
      </c>
      <c r="D75" s="7" t="str">
        <f>IFERROR(INDEX(Players!$E$4:$E$503,MATCH(72,Players!$K$4:$K$503,0)),"")</f>
        <v/>
      </c>
      <c r="E75" s="1" t="str">
        <f>IFERROR(INDEX(Players!$G$4:$G$503,MATCH(72,Players!$K$4:$K$503,0)),"")</f>
        <v/>
      </c>
      <c r="F75" s="7" t="str">
        <f>IFERROR(INDEX(Players!$H$4:$H$503,MATCH(72,Players!$K$4:$K$503,0)),"")</f>
        <v/>
      </c>
      <c r="G75" s="1" t="str">
        <f>IFERROR(INDEX(Players!$I$4:$I$503,MATCH(72,Players!$K$4:$K$503,0)),"")</f>
        <v/>
      </c>
    </row>
    <row r="76" spans="1:7">
      <c r="A76" s="1" t="str">
        <f>IFERROR(INDEX(Players!$B$4:$B$503,MATCH(73,Players!$K$4:$K$503,0)),"")</f>
        <v/>
      </c>
      <c r="B76" s="1" t="str">
        <f>IFERROR(INDEX(Players!$C$4:$C$503,MATCH(73,Players!$K$4:$K$503,0)),"")</f>
        <v/>
      </c>
      <c r="C76" s="1" t="str">
        <f>IFERROR(INDEX(Players!$D$4:$D$503,MATCH(73,Players!$K$4:$K$503,0)),"")</f>
        <v/>
      </c>
      <c r="D76" s="7" t="str">
        <f>IFERROR(INDEX(Players!$E$4:$E$503,MATCH(73,Players!$K$4:$K$503,0)),"")</f>
        <v/>
      </c>
      <c r="E76" s="1" t="str">
        <f>IFERROR(INDEX(Players!$G$4:$G$503,MATCH(73,Players!$K$4:$K$503,0)),"")</f>
        <v/>
      </c>
      <c r="F76" s="7" t="str">
        <f>IFERROR(INDEX(Players!$H$4:$H$503,MATCH(73,Players!$K$4:$K$503,0)),"")</f>
        <v/>
      </c>
      <c r="G76" s="1" t="str">
        <f>IFERROR(INDEX(Players!$I$4:$I$503,MATCH(73,Players!$K$4:$K$503,0)),"")</f>
        <v/>
      </c>
    </row>
    <row r="77" spans="1:7">
      <c r="A77" s="1" t="str">
        <f>IFERROR(INDEX(Players!$B$4:$B$503,MATCH(74,Players!$K$4:$K$503,0)),"")</f>
        <v/>
      </c>
      <c r="B77" s="1" t="str">
        <f>IFERROR(INDEX(Players!$C$4:$C$503,MATCH(74,Players!$K$4:$K$503,0)),"")</f>
        <v/>
      </c>
      <c r="C77" s="1" t="str">
        <f>IFERROR(INDEX(Players!$D$4:$D$503,MATCH(74,Players!$K$4:$K$503,0)),"")</f>
        <v/>
      </c>
      <c r="D77" s="7" t="str">
        <f>IFERROR(INDEX(Players!$E$4:$E$503,MATCH(74,Players!$K$4:$K$503,0)),"")</f>
        <v/>
      </c>
      <c r="E77" s="1" t="str">
        <f>IFERROR(INDEX(Players!$G$4:$G$503,MATCH(74,Players!$K$4:$K$503,0)),"")</f>
        <v/>
      </c>
      <c r="F77" s="7" t="str">
        <f>IFERROR(INDEX(Players!$H$4:$H$503,MATCH(74,Players!$K$4:$K$503,0)),"")</f>
        <v/>
      </c>
      <c r="G77" s="1" t="str">
        <f>IFERROR(INDEX(Players!$I$4:$I$503,MATCH(74,Players!$K$4:$K$503,0)),"")</f>
        <v/>
      </c>
    </row>
    <row r="78" spans="1:7">
      <c r="A78" s="1" t="str">
        <f>IFERROR(INDEX(Players!$B$4:$B$503,MATCH(75,Players!$K$4:$K$503,0)),"")</f>
        <v/>
      </c>
      <c r="B78" s="1" t="str">
        <f>IFERROR(INDEX(Players!$C$4:$C$503,MATCH(75,Players!$K$4:$K$503,0)),"")</f>
        <v/>
      </c>
      <c r="C78" s="1" t="str">
        <f>IFERROR(INDEX(Players!$D$4:$D$503,MATCH(75,Players!$K$4:$K$503,0)),"")</f>
        <v/>
      </c>
      <c r="D78" s="7" t="str">
        <f>IFERROR(INDEX(Players!$E$4:$E$503,MATCH(75,Players!$K$4:$K$503,0)),"")</f>
        <v/>
      </c>
      <c r="E78" s="1" t="str">
        <f>IFERROR(INDEX(Players!$G$4:$G$503,MATCH(75,Players!$K$4:$K$503,0)),"")</f>
        <v/>
      </c>
      <c r="F78" s="7" t="str">
        <f>IFERROR(INDEX(Players!$H$4:$H$503,MATCH(75,Players!$K$4:$K$503,0)),"")</f>
        <v/>
      </c>
      <c r="G78" s="1" t="str">
        <f>IFERROR(INDEX(Players!$I$4:$I$503,MATCH(75,Players!$K$4:$K$503,0)),"")</f>
        <v/>
      </c>
    </row>
    <row r="79" spans="1:7">
      <c r="A79" s="1" t="str">
        <f>IFERROR(INDEX(Players!$B$4:$B$503,MATCH(76,Players!$K$4:$K$503,0)),"")</f>
        <v/>
      </c>
      <c r="B79" s="1" t="str">
        <f>IFERROR(INDEX(Players!$C$4:$C$503,MATCH(76,Players!$K$4:$K$503,0)),"")</f>
        <v/>
      </c>
      <c r="C79" s="1" t="str">
        <f>IFERROR(INDEX(Players!$D$4:$D$503,MATCH(76,Players!$K$4:$K$503,0)),"")</f>
        <v/>
      </c>
      <c r="D79" s="7" t="str">
        <f>IFERROR(INDEX(Players!$E$4:$E$503,MATCH(76,Players!$K$4:$K$503,0)),"")</f>
        <v/>
      </c>
      <c r="E79" s="1" t="str">
        <f>IFERROR(INDEX(Players!$G$4:$G$503,MATCH(76,Players!$K$4:$K$503,0)),"")</f>
        <v/>
      </c>
      <c r="F79" s="7" t="str">
        <f>IFERROR(INDEX(Players!$H$4:$H$503,MATCH(76,Players!$K$4:$K$503,0)),"")</f>
        <v/>
      </c>
      <c r="G79" s="1" t="str">
        <f>IFERROR(INDEX(Players!$I$4:$I$503,MATCH(76,Players!$K$4:$K$503,0)),"")</f>
        <v/>
      </c>
    </row>
    <row r="80" spans="1:7">
      <c r="A80" s="1" t="str">
        <f>IFERROR(INDEX(Players!$B$4:$B$503,MATCH(77,Players!$K$4:$K$503,0)),"")</f>
        <v/>
      </c>
      <c r="B80" s="1" t="str">
        <f>IFERROR(INDEX(Players!$C$4:$C$503,MATCH(77,Players!$K$4:$K$503,0)),"")</f>
        <v/>
      </c>
      <c r="C80" s="1" t="str">
        <f>IFERROR(INDEX(Players!$D$4:$D$503,MATCH(77,Players!$K$4:$K$503,0)),"")</f>
        <v/>
      </c>
      <c r="D80" s="7" t="str">
        <f>IFERROR(INDEX(Players!$E$4:$E$503,MATCH(77,Players!$K$4:$K$503,0)),"")</f>
        <v/>
      </c>
      <c r="E80" s="1" t="str">
        <f>IFERROR(INDEX(Players!$G$4:$G$503,MATCH(77,Players!$K$4:$K$503,0)),"")</f>
        <v/>
      </c>
      <c r="F80" s="7" t="str">
        <f>IFERROR(INDEX(Players!$H$4:$H$503,MATCH(77,Players!$K$4:$K$503,0)),"")</f>
        <v/>
      </c>
      <c r="G80" s="1" t="str">
        <f>IFERROR(INDEX(Players!$I$4:$I$503,MATCH(77,Players!$K$4:$K$503,0)),"")</f>
        <v/>
      </c>
    </row>
    <row r="81" spans="1:7">
      <c r="A81" s="1" t="str">
        <f>IFERROR(INDEX(Players!$B$4:$B$503,MATCH(78,Players!$K$4:$K$503,0)),"")</f>
        <v/>
      </c>
      <c r="B81" s="1" t="str">
        <f>IFERROR(INDEX(Players!$C$4:$C$503,MATCH(78,Players!$K$4:$K$503,0)),"")</f>
        <v/>
      </c>
      <c r="C81" s="1" t="str">
        <f>IFERROR(INDEX(Players!$D$4:$D$503,MATCH(78,Players!$K$4:$K$503,0)),"")</f>
        <v/>
      </c>
      <c r="D81" s="7" t="str">
        <f>IFERROR(INDEX(Players!$E$4:$E$503,MATCH(78,Players!$K$4:$K$503,0)),"")</f>
        <v/>
      </c>
      <c r="E81" s="1" t="str">
        <f>IFERROR(INDEX(Players!$G$4:$G$503,MATCH(78,Players!$K$4:$K$503,0)),"")</f>
        <v/>
      </c>
      <c r="F81" s="7" t="str">
        <f>IFERROR(INDEX(Players!$H$4:$H$503,MATCH(78,Players!$K$4:$K$503,0)),"")</f>
        <v/>
      </c>
      <c r="G81" s="1" t="str">
        <f>IFERROR(INDEX(Players!$I$4:$I$503,MATCH(78,Players!$K$4:$K$503,0)),"")</f>
        <v/>
      </c>
    </row>
    <row r="82" spans="1:7">
      <c r="A82" s="1" t="str">
        <f>IFERROR(INDEX(Players!$B$4:$B$503,MATCH(79,Players!$K$4:$K$503,0)),"")</f>
        <v/>
      </c>
      <c r="B82" s="1" t="str">
        <f>IFERROR(INDEX(Players!$C$4:$C$503,MATCH(79,Players!$K$4:$K$503,0)),"")</f>
        <v/>
      </c>
      <c r="C82" s="1" t="str">
        <f>IFERROR(INDEX(Players!$D$4:$D$503,MATCH(79,Players!$K$4:$K$503,0)),"")</f>
        <v/>
      </c>
      <c r="D82" s="7" t="str">
        <f>IFERROR(INDEX(Players!$E$4:$E$503,MATCH(79,Players!$K$4:$K$503,0)),"")</f>
        <v/>
      </c>
      <c r="E82" s="1" t="str">
        <f>IFERROR(INDEX(Players!$G$4:$G$503,MATCH(79,Players!$K$4:$K$503,0)),"")</f>
        <v/>
      </c>
      <c r="F82" s="7" t="str">
        <f>IFERROR(INDEX(Players!$H$4:$H$503,MATCH(79,Players!$K$4:$K$503,0)),"")</f>
        <v/>
      </c>
      <c r="G82" s="1" t="str">
        <f>IFERROR(INDEX(Players!$I$4:$I$503,MATCH(79,Players!$K$4:$K$503,0)),"")</f>
        <v/>
      </c>
    </row>
    <row r="83" spans="1:7">
      <c r="A83" s="1" t="str">
        <f>IFERROR(INDEX(Players!$B$4:$B$503,MATCH(80,Players!$K$4:$K$503,0)),"")</f>
        <v/>
      </c>
      <c r="B83" s="1" t="str">
        <f>IFERROR(INDEX(Players!$C$4:$C$503,MATCH(80,Players!$K$4:$K$503,0)),"")</f>
        <v/>
      </c>
      <c r="C83" s="1" t="str">
        <f>IFERROR(INDEX(Players!$D$4:$D$503,MATCH(80,Players!$K$4:$K$503,0)),"")</f>
        <v/>
      </c>
      <c r="D83" s="7" t="str">
        <f>IFERROR(INDEX(Players!$E$4:$E$503,MATCH(80,Players!$K$4:$K$503,0)),"")</f>
        <v/>
      </c>
      <c r="E83" s="1" t="str">
        <f>IFERROR(INDEX(Players!$G$4:$G$503,MATCH(80,Players!$K$4:$K$503,0)),"")</f>
        <v/>
      </c>
      <c r="F83" s="7" t="str">
        <f>IFERROR(INDEX(Players!$H$4:$H$503,MATCH(80,Players!$K$4:$K$503,0)),"")</f>
        <v/>
      </c>
      <c r="G83" s="1" t="str">
        <f>IFERROR(INDEX(Players!$I$4:$I$503,MATCH(80,Players!$K$4:$K$503,0)),"")</f>
        <v/>
      </c>
    </row>
    <row r="84" spans="1:7">
      <c r="A84" s="1" t="str">
        <f>IFERROR(INDEX(Players!$B$4:$B$503,MATCH(81,Players!$K$4:$K$503,0)),"")</f>
        <v/>
      </c>
      <c r="B84" s="1" t="str">
        <f>IFERROR(INDEX(Players!$C$4:$C$503,MATCH(81,Players!$K$4:$K$503,0)),"")</f>
        <v/>
      </c>
      <c r="C84" s="1" t="str">
        <f>IFERROR(INDEX(Players!$D$4:$D$503,MATCH(81,Players!$K$4:$K$503,0)),"")</f>
        <v/>
      </c>
      <c r="D84" s="7" t="str">
        <f>IFERROR(INDEX(Players!$E$4:$E$503,MATCH(81,Players!$K$4:$K$503,0)),"")</f>
        <v/>
      </c>
      <c r="E84" s="1" t="str">
        <f>IFERROR(INDEX(Players!$G$4:$G$503,MATCH(81,Players!$K$4:$K$503,0)),"")</f>
        <v/>
      </c>
      <c r="F84" s="7" t="str">
        <f>IFERROR(INDEX(Players!$H$4:$H$503,MATCH(81,Players!$K$4:$K$503,0)),"")</f>
        <v/>
      </c>
      <c r="G84" s="1" t="str">
        <f>IFERROR(INDEX(Players!$I$4:$I$503,MATCH(81,Players!$K$4:$K$503,0)),"")</f>
        <v/>
      </c>
    </row>
    <row r="85" spans="1:7">
      <c r="A85" s="1" t="str">
        <f>IFERROR(INDEX(Players!$B$4:$B$503,MATCH(82,Players!$K$4:$K$503,0)),"")</f>
        <v/>
      </c>
      <c r="B85" s="1" t="str">
        <f>IFERROR(INDEX(Players!$C$4:$C$503,MATCH(82,Players!$K$4:$K$503,0)),"")</f>
        <v/>
      </c>
      <c r="C85" s="1" t="str">
        <f>IFERROR(INDEX(Players!$D$4:$D$503,MATCH(82,Players!$K$4:$K$503,0)),"")</f>
        <v/>
      </c>
      <c r="D85" s="7" t="str">
        <f>IFERROR(INDEX(Players!$E$4:$E$503,MATCH(82,Players!$K$4:$K$503,0)),"")</f>
        <v/>
      </c>
      <c r="E85" s="1" t="str">
        <f>IFERROR(INDEX(Players!$G$4:$G$503,MATCH(82,Players!$K$4:$K$503,0)),"")</f>
        <v/>
      </c>
      <c r="F85" s="7" t="str">
        <f>IFERROR(INDEX(Players!$H$4:$H$503,MATCH(82,Players!$K$4:$K$503,0)),"")</f>
        <v/>
      </c>
      <c r="G85" s="1" t="str">
        <f>IFERROR(INDEX(Players!$I$4:$I$503,MATCH(82,Players!$K$4:$K$503,0)),"")</f>
        <v/>
      </c>
    </row>
    <row r="86" spans="1:7">
      <c r="A86" s="1" t="str">
        <f>IFERROR(INDEX(Players!$B$4:$B$503,MATCH(83,Players!$K$4:$K$503,0)),"")</f>
        <v/>
      </c>
      <c r="B86" s="1" t="str">
        <f>IFERROR(INDEX(Players!$C$4:$C$503,MATCH(83,Players!$K$4:$K$503,0)),"")</f>
        <v/>
      </c>
      <c r="C86" s="1" t="str">
        <f>IFERROR(INDEX(Players!$D$4:$D$503,MATCH(83,Players!$K$4:$K$503,0)),"")</f>
        <v/>
      </c>
      <c r="D86" s="7" t="str">
        <f>IFERROR(INDEX(Players!$E$4:$E$503,MATCH(83,Players!$K$4:$K$503,0)),"")</f>
        <v/>
      </c>
      <c r="E86" s="1" t="str">
        <f>IFERROR(INDEX(Players!$G$4:$G$503,MATCH(83,Players!$K$4:$K$503,0)),"")</f>
        <v/>
      </c>
      <c r="F86" s="7" t="str">
        <f>IFERROR(INDEX(Players!$H$4:$H$503,MATCH(83,Players!$K$4:$K$503,0)),"")</f>
        <v/>
      </c>
      <c r="G86" s="1" t="str">
        <f>IFERROR(INDEX(Players!$I$4:$I$503,MATCH(83,Players!$K$4:$K$503,0)),"")</f>
        <v/>
      </c>
    </row>
    <row r="87" spans="1:7">
      <c r="A87" s="1" t="str">
        <f>IFERROR(INDEX(Players!$B$4:$B$503,MATCH(84,Players!$K$4:$K$503,0)),"")</f>
        <v/>
      </c>
      <c r="B87" s="1" t="str">
        <f>IFERROR(INDEX(Players!$C$4:$C$503,MATCH(84,Players!$K$4:$K$503,0)),"")</f>
        <v/>
      </c>
      <c r="C87" s="1" t="str">
        <f>IFERROR(INDEX(Players!$D$4:$D$503,MATCH(84,Players!$K$4:$K$503,0)),"")</f>
        <v/>
      </c>
      <c r="D87" s="7" t="str">
        <f>IFERROR(INDEX(Players!$E$4:$E$503,MATCH(84,Players!$K$4:$K$503,0)),"")</f>
        <v/>
      </c>
      <c r="E87" s="1" t="str">
        <f>IFERROR(INDEX(Players!$G$4:$G$503,MATCH(84,Players!$K$4:$K$503,0)),"")</f>
        <v/>
      </c>
      <c r="F87" s="7" t="str">
        <f>IFERROR(INDEX(Players!$H$4:$H$503,MATCH(84,Players!$K$4:$K$503,0)),"")</f>
        <v/>
      </c>
      <c r="G87" s="1" t="str">
        <f>IFERROR(INDEX(Players!$I$4:$I$503,MATCH(84,Players!$K$4:$K$503,0)),"")</f>
        <v/>
      </c>
    </row>
    <row r="88" spans="1:7">
      <c r="A88" s="1" t="str">
        <f>IFERROR(INDEX(Players!$B$4:$B$503,MATCH(85,Players!$K$4:$K$503,0)),"")</f>
        <v/>
      </c>
      <c r="B88" s="1" t="str">
        <f>IFERROR(INDEX(Players!$C$4:$C$503,MATCH(85,Players!$K$4:$K$503,0)),"")</f>
        <v/>
      </c>
      <c r="C88" s="1" t="str">
        <f>IFERROR(INDEX(Players!$D$4:$D$503,MATCH(85,Players!$K$4:$K$503,0)),"")</f>
        <v/>
      </c>
      <c r="D88" s="7" t="str">
        <f>IFERROR(INDEX(Players!$E$4:$E$503,MATCH(85,Players!$K$4:$K$503,0)),"")</f>
        <v/>
      </c>
      <c r="E88" s="1" t="str">
        <f>IFERROR(INDEX(Players!$G$4:$G$503,MATCH(85,Players!$K$4:$K$503,0)),"")</f>
        <v/>
      </c>
      <c r="F88" s="7" t="str">
        <f>IFERROR(INDEX(Players!$H$4:$H$503,MATCH(85,Players!$K$4:$K$503,0)),"")</f>
        <v/>
      </c>
      <c r="G88" s="1" t="str">
        <f>IFERROR(INDEX(Players!$I$4:$I$503,MATCH(85,Players!$K$4:$K$503,0)),"")</f>
        <v/>
      </c>
    </row>
    <row r="89" spans="1:7">
      <c r="A89" s="1" t="str">
        <f>IFERROR(INDEX(Players!$B$4:$B$503,MATCH(86,Players!$K$4:$K$503,0)),"")</f>
        <v/>
      </c>
      <c r="B89" s="1" t="str">
        <f>IFERROR(INDEX(Players!$C$4:$C$503,MATCH(86,Players!$K$4:$K$503,0)),"")</f>
        <v/>
      </c>
      <c r="C89" s="1" t="str">
        <f>IFERROR(INDEX(Players!$D$4:$D$503,MATCH(86,Players!$K$4:$K$503,0)),"")</f>
        <v/>
      </c>
      <c r="D89" s="7" t="str">
        <f>IFERROR(INDEX(Players!$E$4:$E$503,MATCH(86,Players!$K$4:$K$503,0)),"")</f>
        <v/>
      </c>
      <c r="E89" s="1" t="str">
        <f>IFERROR(INDEX(Players!$G$4:$G$503,MATCH(86,Players!$K$4:$K$503,0)),"")</f>
        <v/>
      </c>
      <c r="F89" s="7" t="str">
        <f>IFERROR(INDEX(Players!$H$4:$H$503,MATCH(86,Players!$K$4:$K$503,0)),"")</f>
        <v/>
      </c>
      <c r="G89" s="1" t="str">
        <f>IFERROR(INDEX(Players!$I$4:$I$503,MATCH(86,Players!$K$4:$K$503,0)),"")</f>
        <v/>
      </c>
    </row>
    <row r="90" spans="1:7">
      <c r="A90" s="1" t="str">
        <f>IFERROR(INDEX(Players!$B$4:$B$503,MATCH(87,Players!$K$4:$K$503,0)),"")</f>
        <v/>
      </c>
      <c r="B90" s="1" t="str">
        <f>IFERROR(INDEX(Players!$C$4:$C$503,MATCH(87,Players!$K$4:$K$503,0)),"")</f>
        <v/>
      </c>
      <c r="C90" s="1" t="str">
        <f>IFERROR(INDEX(Players!$D$4:$D$503,MATCH(87,Players!$K$4:$K$503,0)),"")</f>
        <v/>
      </c>
      <c r="D90" s="7" t="str">
        <f>IFERROR(INDEX(Players!$E$4:$E$503,MATCH(87,Players!$K$4:$K$503,0)),"")</f>
        <v/>
      </c>
      <c r="E90" s="1" t="str">
        <f>IFERROR(INDEX(Players!$G$4:$G$503,MATCH(87,Players!$K$4:$K$503,0)),"")</f>
        <v/>
      </c>
      <c r="F90" s="7" t="str">
        <f>IFERROR(INDEX(Players!$H$4:$H$503,MATCH(87,Players!$K$4:$K$503,0)),"")</f>
        <v/>
      </c>
      <c r="G90" s="1" t="str">
        <f>IFERROR(INDEX(Players!$I$4:$I$503,MATCH(87,Players!$K$4:$K$503,0)),"")</f>
        <v/>
      </c>
    </row>
    <row r="91" spans="1:7">
      <c r="A91" s="1" t="str">
        <f>IFERROR(INDEX(Players!$B$4:$B$503,MATCH(88,Players!$K$4:$K$503,0)),"")</f>
        <v/>
      </c>
      <c r="B91" s="1" t="str">
        <f>IFERROR(INDEX(Players!$C$4:$C$503,MATCH(88,Players!$K$4:$K$503,0)),"")</f>
        <v/>
      </c>
      <c r="C91" s="1" t="str">
        <f>IFERROR(INDEX(Players!$D$4:$D$503,MATCH(88,Players!$K$4:$K$503,0)),"")</f>
        <v/>
      </c>
      <c r="D91" s="7" t="str">
        <f>IFERROR(INDEX(Players!$E$4:$E$503,MATCH(88,Players!$K$4:$K$503,0)),"")</f>
        <v/>
      </c>
      <c r="E91" s="1" t="str">
        <f>IFERROR(INDEX(Players!$G$4:$G$503,MATCH(88,Players!$K$4:$K$503,0)),"")</f>
        <v/>
      </c>
      <c r="F91" s="7" t="str">
        <f>IFERROR(INDEX(Players!$H$4:$H$503,MATCH(88,Players!$K$4:$K$503,0)),"")</f>
        <v/>
      </c>
      <c r="G91" s="1" t="str">
        <f>IFERROR(INDEX(Players!$I$4:$I$503,MATCH(88,Players!$K$4:$K$503,0)),"")</f>
        <v/>
      </c>
    </row>
    <row r="92" spans="1:7">
      <c r="A92" s="1" t="str">
        <f>IFERROR(INDEX(Players!$B$4:$B$503,MATCH(89,Players!$K$4:$K$503,0)),"")</f>
        <v/>
      </c>
      <c r="B92" s="1" t="str">
        <f>IFERROR(INDEX(Players!$C$4:$C$503,MATCH(89,Players!$K$4:$K$503,0)),"")</f>
        <v/>
      </c>
      <c r="C92" s="1" t="str">
        <f>IFERROR(INDEX(Players!$D$4:$D$503,MATCH(89,Players!$K$4:$K$503,0)),"")</f>
        <v/>
      </c>
      <c r="D92" s="7" t="str">
        <f>IFERROR(INDEX(Players!$E$4:$E$503,MATCH(89,Players!$K$4:$K$503,0)),"")</f>
        <v/>
      </c>
      <c r="E92" s="1" t="str">
        <f>IFERROR(INDEX(Players!$G$4:$G$503,MATCH(89,Players!$K$4:$K$503,0)),"")</f>
        <v/>
      </c>
      <c r="F92" s="7" t="str">
        <f>IFERROR(INDEX(Players!$H$4:$H$503,MATCH(89,Players!$K$4:$K$503,0)),"")</f>
        <v/>
      </c>
      <c r="G92" s="1" t="str">
        <f>IFERROR(INDEX(Players!$I$4:$I$503,MATCH(89,Players!$K$4:$K$503,0)),"")</f>
        <v/>
      </c>
    </row>
    <row r="93" spans="1:7">
      <c r="A93" s="1" t="str">
        <f>IFERROR(INDEX(Players!$B$4:$B$503,MATCH(90,Players!$K$4:$K$503,0)),"")</f>
        <v/>
      </c>
      <c r="B93" s="1" t="str">
        <f>IFERROR(INDEX(Players!$C$4:$C$503,MATCH(90,Players!$K$4:$K$503,0)),"")</f>
        <v/>
      </c>
      <c r="C93" s="1" t="str">
        <f>IFERROR(INDEX(Players!$D$4:$D$503,MATCH(90,Players!$K$4:$K$503,0)),"")</f>
        <v/>
      </c>
      <c r="D93" s="7" t="str">
        <f>IFERROR(INDEX(Players!$E$4:$E$503,MATCH(90,Players!$K$4:$K$503,0)),"")</f>
        <v/>
      </c>
      <c r="E93" s="1" t="str">
        <f>IFERROR(INDEX(Players!$G$4:$G$503,MATCH(90,Players!$K$4:$K$503,0)),"")</f>
        <v/>
      </c>
      <c r="F93" s="7" t="str">
        <f>IFERROR(INDEX(Players!$H$4:$H$503,MATCH(90,Players!$K$4:$K$503,0)),"")</f>
        <v/>
      </c>
      <c r="G93" s="1" t="str">
        <f>IFERROR(INDEX(Players!$I$4:$I$503,MATCH(90,Players!$K$4:$K$503,0)),"")</f>
        <v/>
      </c>
    </row>
    <row r="94" spans="1:7">
      <c r="A94" s="1" t="str">
        <f>IFERROR(INDEX(Players!$B$4:$B$503,MATCH(91,Players!$K$4:$K$503,0)),"")</f>
        <v/>
      </c>
      <c r="B94" s="1" t="str">
        <f>IFERROR(INDEX(Players!$C$4:$C$503,MATCH(91,Players!$K$4:$K$503,0)),"")</f>
        <v/>
      </c>
      <c r="C94" s="1" t="str">
        <f>IFERROR(INDEX(Players!$D$4:$D$503,MATCH(91,Players!$K$4:$K$503,0)),"")</f>
        <v/>
      </c>
      <c r="D94" s="7" t="str">
        <f>IFERROR(INDEX(Players!$E$4:$E$503,MATCH(91,Players!$K$4:$K$503,0)),"")</f>
        <v/>
      </c>
      <c r="E94" s="1" t="str">
        <f>IFERROR(INDEX(Players!$G$4:$G$503,MATCH(91,Players!$K$4:$K$503,0)),"")</f>
        <v/>
      </c>
      <c r="F94" s="7" t="str">
        <f>IFERROR(INDEX(Players!$H$4:$H$503,MATCH(91,Players!$K$4:$K$503,0)),"")</f>
        <v/>
      </c>
      <c r="G94" s="1" t="str">
        <f>IFERROR(INDEX(Players!$I$4:$I$503,MATCH(91,Players!$K$4:$K$503,0)),"")</f>
        <v/>
      </c>
    </row>
    <row r="95" spans="1:7">
      <c r="A95" s="1" t="str">
        <f>IFERROR(INDEX(Players!$B$4:$B$503,MATCH(92,Players!$K$4:$K$503,0)),"")</f>
        <v/>
      </c>
      <c r="B95" s="1" t="str">
        <f>IFERROR(INDEX(Players!$C$4:$C$503,MATCH(92,Players!$K$4:$K$503,0)),"")</f>
        <v/>
      </c>
      <c r="C95" s="1" t="str">
        <f>IFERROR(INDEX(Players!$D$4:$D$503,MATCH(92,Players!$K$4:$K$503,0)),"")</f>
        <v/>
      </c>
      <c r="D95" s="7" t="str">
        <f>IFERROR(INDEX(Players!$E$4:$E$503,MATCH(92,Players!$K$4:$K$503,0)),"")</f>
        <v/>
      </c>
      <c r="E95" s="1" t="str">
        <f>IFERROR(INDEX(Players!$G$4:$G$503,MATCH(92,Players!$K$4:$K$503,0)),"")</f>
        <v/>
      </c>
      <c r="F95" s="7" t="str">
        <f>IFERROR(INDEX(Players!$H$4:$H$503,MATCH(92,Players!$K$4:$K$503,0)),"")</f>
        <v/>
      </c>
      <c r="G95" s="1" t="str">
        <f>IFERROR(INDEX(Players!$I$4:$I$503,MATCH(92,Players!$K$4:$K$503,0)),"")</f>
        <v/>
      </c>
    </row>
    <row r="96" spans="1:7">
      <c r="A96" s="1" t="str">
        <f>IFERROR(INDEX(Players!$B$4:$B$503,MATCH(93,Players!$K$4:$K$503,0)),"")</f>
        <v/>
      </c>
      <c r="B96" s="1" t="str">
        <f>IFERROR(INDEX(Players!$C$4:$C$503,MATCH(93,Players!$K$4:$K$503,0)),"")</f>
        <v/>
      </c>
      <c r="C96" s="1" t="str">
        <f>IFERROR(INDEX(Players!$D$4:$D$503,MATCH(93,Players!$K$4:$K$503,0)),"")</f>
        <v/>
      </c>
      <c r="D96" s="7" t="str">
        <f>IFERROR(INDEX(Players!$E$4:$E$503,MATCH(93,Players!$K$4:$K$503,0)),"")</f>
        <v/>
      </c>
      <c r="E96" s="1" t="str">
        <f>IFERROR(INDEX(Players!$G$4:$G$503,MATCH(93,Players!$K$4:$K$503,0)),"")</f>
        <v/>
      </c>
      <c r="F96" s="7" t="str">
        <f>IFERROR(INDEX(Players!$H$4:$H$503,MATCH(93,Players!$K$4:$K$503,0)),"")</f>
        <v/>
      </c>
      <c r="G96" s="1" t="str">
        <f>IFERROR(INDEX(Players!$I$4:$I$503,MATCH(93,Players!$K$4:$K$503,0)),"")</f>
        <v/>
      </c>
    </row>
    <row r="97" spans="1:7">
      <c r="A97" s="1" t="str">
        <f>IFERROR(INDEX(Players!$B$4:$B$503,MATCH(94,Players!$K$4:$K$503,0)),"")</f>
        <v/>
      </c>
      <c r="B97" s="1" t="str">
        <f>IFERROR(INDEX(Players!$C$4:$C$503,MATCH(94,Players!$K$4:$K$503,0)),"")</f>
        <v/>
      </c>
      <c r="C97" s="1" t="str">
        <f>IFERROR(INDEX(Players!$D$4:$D$503,MATCH(94,Players!$K$4:$K$503,0)),"")</f>
        <v/>
      </c>
      <c r="D97" s="7" t="str">
        <f>IFERROR(INDEX(Players!$E$4:$E$503,MATCH(94,Players!$K$4:$K$503,0)),"")</f>
        <v/>
      </c>
      <c r="E97" s="1" t="str">
        <f>IFERROR(INDEX(Players!$G$4:$G$503,MATCH(94,Players!$K$4:$K$503,0)),"")</f>
        <v/>
      </c>
      <c r="F97" s="7" t="str">
        <f>IFERROR(INDEX(Players!$H$4:$H$503,MATCH(94,Players!$K$4:$K$503,0)),"")</f>
        <v/>
      </c>
      <c r="G97" s="1" t="str">
        <f>IFERROR(INDEX(Players!$I$4:$I$503,MATCH(94,Players!$K$4:$K$503,0)),"")</f>
        <v/>
      </c>
    </row>
    <row r="98" spans="1:7">
      <c r="A98" s="1" t="str">
        <f>IFERROR(INDEX(Players!$B$4:$B$503,MATCH(95,Players!$K$4:$K$503,0)),"")</f>
        <v/>
      </c>
      <c r="B98" s="1" t="str">
        <f>IFERROR(INDEX(Players!$C$4:$C$503,MATCH(95,Players!$K$4:$K$503,0)),"")</f>
        <v/>
      </c>
      <c r="C98" s="1" t="str">
        <f>IFERROR(INDEX(Players!$D$4:$D$503,MATCH(95,Players!$K$4:$K$503,0)),"")</f>
        <v/>
      </c>
      <c r="D98" s="7" t="str">
        <f>IFERROR(INDEX(Players!$E$4:$E$503,MATCH(95,Players!$K$4:$K$503,0)),"")</f>
        <v/>
      </c>
      <c r="E98" s="1" t="str">
        <f>IFERROR(INDEX(Players!$G$4:$G$503,MATCH(95,Players!$K$4:$K$503,0)),"")</f>
        <v/>
      </c>
      <c r="F98" s="7" t="str">
        <f>IFERROR(INDEX(Players!$H$4:$H$503,MATCH(95,Players!$K$4:$K$503,0)),"")</f>
        <v/>
      </c>
      <c r="G98" s="1" t="str">
        <f>IFERROR(INDEX(Players!$I$4:$I$503,MATCH(95,Players!$K$4:$K$503,0)),"")</f>
        <v/>
      </c>
    </row>
    <row r="99" spans="1:7">
      <c r="A99" s="1" t="str">
        <f>IFERROR(INDEX(Players!$B$4:$B$503,MATCH(96,Players!$K$4:$K$503,0)),"")</f>
        <v/>
      </c>
      <c r="B99" s="1" t="str">
        <f>IFERROR(INDEX(Players!$C$4:$C$503,MATCH(96,Players!$K$4:$K$503,0)),"")</f>
        <v/>
      </c>
      <c r="C99" s="1" t="str">
        <f>IFERROR(INDEX(Players!$D$4:$D$503,MATCH(96,Players!$K$4:$K$503,0)),"")</f>
        <v/>
      </c>
      <c r="D99" s="7" t="str">
        <f>IFERROR(INDEX(Players!$E$4:$E$503,MATCH(96,Players!$K$4:$K$503,0)),"")</f>
        <v/>
      </c>
      <c r="E99" s="1" t="str">
        <f>IFERROR(INDEX(Players!$G$4:$G$503,MATCH(96,Players!$K$4:$K$503,0)),"")</f>
        <v/>
      </c>
      <c r="F99" s="7" t="str">
        <f>IFERROR(INDEX(Players!$H$4:$H$503,MATCH(96,Players!$K$4:$K$503,0)),"")</f>
        <v/>
      </c>
      <c r="G99" s="1" t="str">
        <f>IFERROR(INDEX(Players!$I$4:$I$503,MATCH(96,Players!$K$4:$K$503,0)),"")</f>
        <v/>
      </c>
    </row>
    <row r="100" spans="1:7">
      <c r="A100" s="1" t="str">
        <f>IFERROR(INDEX(Players!$B$4:$B$503,MATCH(97,Players!$K$4:$K$503,0)),"")</f>
        <v/>
      </c>
      <c r="B100" s="1" t="str">
        <f>IFERROR(INDEX(Players!$C$4:$C$503,MATCH(97,Players!$K$4:$K$503,0)),"")</f>
        <v/>
      </c>
      <c r="C100" s="1" t="str">
        <f>IFERROR(INDEX(Players!$D$4:$D$503,MATCH(97,Players!$K$4:$K$503,0)),"")</f>
        <v/>
      </c>
      <c r="D100" s="7" t="str">
        <f>IFERROR(INDEX(Players!$E$4:$E$503,MATCH(97,Players!$K$4:$K$503,0)),"")</f>
        <v/>
      </c>
      <c r="E100" s="1" t="str">
        <f>IFERROR(INDEX(Players!$G$4:$G$503,MATCH(97,Players!$K$4:$K$503,0)),"")</f>
        <v/>
      </c>
      <c r="F100" s="7" t="str">
        <f>IFERROR(INDEX(Players!$H$4:$H$503,MATCH(97,Players!$K$4:$K$503,0)),"")</f>
        <v/>
      </c>
      <c r="G100" s="1" t="str">
        <f>IFERROR(INDEX(Players!$I$4:$I$503,MATCH(97,Players!$K$4:$K$503,0)),"")</f>
        <v/>
      </c>
    </row>
    <row r="101" spans="1:7">
      <c r="A101" s="1" t="str">
        <f>IFERROR(INDEX(Players!$B$4:$B$503,MATCH(98,Players!$K$4:$K$503,0)),"")</f>
        <v/>
      </c>
      <c r="B101" s="1" t="str">
        <f>IFERROR(INDEX(Players!$C$4:$C$503,MATCH(98,Players!$K$4:$K$503,0)),"")</f>
        <v/>
      </c>
      <c r="C101" s="1" t="str">
        <f>IFERROR(INDEX(Players!$D$4:$D$503,MATCH(98,Players!$K$4:$K$503,0)),"")</f>
        <v/>
      </c>
      <c r="D101" s="7" t="str">
        <f>IFERROR(INDEX(Players!$E$4:$E$503,MATCH(98,Players!$K$4:$K$503,0)),"")</f>
        <v/>
      </c>
      <c r="E101" s="1" t="str">
        <f>IFERROR(INDEX(Players!$G$4:$G$503,MATCH(98,Players!$K$4:$K$503,0)),"")</f>
        <v/>
      </c>
      <c r="F101" s="7" t="str">
        <f>IFERROR(INDEX(Players!$H$4:$H$503,MATCH(98,Players!$K$4:$K$503,0)),"")</f>
        <v/>
      </c>
      <c r="G101" s="1" t="str">
        <f>IFERROR(INDEX(Players!$I$4:$I$503,MATCH(98,Players!$K$4:$K$503,0)),"")</f>
        <v/>
      </c>
    </row>
    <row r="102" spans="1:7">
      <c r="A102" s="1" t="str">
        <f>IFERROR(INDEX(Players!$B$4:$B$503,MATCH(99,Players!$K$4:$K$503,0)),"")</f>
        <v/>
      </c>
      <c r="B102" s="1" t="str">
        <f>IFERROR(INDEX(Players!$C$4:$C$503,MATCH(99,Players!$K$4:$K$503,0)),"")</f>
        <v/>
      </c>
      <c r="C102" s="1" t="str">
        <f>IFERROR(INDEX(Players!$D$4:$D$503,MATCH(99,Players!$K$4:$K$503,0)),"")</f>
        <v/>
      </c>
      <c r="D102" s="7" t="str">
        <f>IFERROR(INDEX(Players!$E$4:$E$503,MATCH(99,Players!$K$4:$K$503,0)),"")</f>
        <v/>
      </c>
      <c r="E102" s="1" t="str">
        <f>IFERROR(INDEX(Players!$G$4:$G$503,MATCH(99,Players!$K$4:$K$503,0)),"")</f>
        <v/>
      </c>
      <c r="F102" s="7" t="str">
        <f>IFERROR(INDEX(Players!$H$4:$H$503,MATCH(99,Players!$K$4:$K$503,0)),"")</f>
        <v/>
      </c>
      <c r="G102" s="1" t="str">
        <f>IFERROR(INDEX(Players!$I$4:$I$503,MATCH(99,Players!$K$4:$K$503,0)),"")</f>
        <v/>
      </c>
    </row>
    <row r="103" spans="1:7">
      <c r="A103" s="1" t="str">
        <f>IFERROR(INDEX(Players!$B$4:$B$503,MATCH(100,Players!$K$4:$K$503,0)),"")</f>
        <v/>
      </c>
      <c r="B103" s="1" t="str">
        <f>IFERROR(INDEX(Players!$C$4:$C$503,MATCH(100,Players!$K$4:$K$503,0)),"")</f>
        <v/>
      </c>
      <c r="C103" s="1" t="str">
        <f>IFERROR(INDEX(Players!$D$4:$D$503,MATCH(100,Players!$K$4:$K$503,0)),"")</f>
        <v/>
      </c>
      <c r="D103" s="7" t="str">
        <f>IFERROR(INDEX(Players!$E$4:$E$503,MATCH(100,Players!$K$4:$K$503,0)),"")</f>
        <v/>
      </c>
      <c r="E103" s="1" t="str">
        <f>IFERROR(INDEX(Players!$G$4:$G$503,MATCH(100,Players!$K$4:$K$503,0)),"")</f>
        <v/>
      </c>
      <c r="F103" s="7" t="str">
        <f>IFERROR(INDEX(Players!$H$4:$H$503,MATCH(100,Players!$K$4:$K$503,0)),"")</f>
        <v/>
      </c>
      <c r="G103" s="1" t="str">
        <f>IFERROR(INDEX(Players!$I$4:$I$503,MATCH(100,Players!$K$4:$K$503,0)),"")</f>
        <v/>
      </c>
    </row>
    <row r="104" spans="1:7">
      <c r="A104" s="1" t="str">
        <f>IFERROR(INDEX(Players!$B$4:$B$503,MATCH(101,Players!$K$4:$K$503,0)),"")</f>
        <v/>
      </c>
      <c r="B104" s="1" t="str">
        <f>IFERROR(INDEX(Players!$C$4:$C$503,MATCH(101,Players!$K$4:$K$503,0)),"")</f>
        <v/>
      </c>
      <c r="C104" s="1" t="str">
        <f>IFERROR(INDEX(Players!$D$4:$D$503,MATCH(101,Players!$K$4:$K$503,0)),"")</f>
        <v/>
      </c>
      <c r="D104" s="7" t="str">
        <f>IFERROR(INDEX(Players!$E$4:$E$503,MATCH(101,Players!$K$4:$K$503,0)),"")</f>
        <v/>
      </c>
      <c r="E104" s="1" t="str">
        <f>IFERROR(INDEX(Players!$G$4:$G$503,MATCH(101,Players!$K$4:$K$503,0)),"")</f>
        <v/>
      </c>
      <c r="F104" s="7" t="str">
        <f>IFERROR(INDEX(Players!$H$4:$H$503,MATCH(101,Players!$K$4:$K$503,0)),"")</f>
        <v/>
      </c>
      <c r="G104" s="1" t="str">
        <f>IFERROR(INDEX(Players!$I$4:$I$503,MATCH(101,Players!$K$4:$K$503,0)),"")</f>
        <v/>
      </c>
    </row>
    <row r="105" spans="1:7">
      <c r="A105" s="1" t="str">
        <f>IFERROR(INDEX(Players!$B$4:$B$503,MATCH(102,Players!$K$4:$K$503,0)),"")</f>
        <v/>
      </c>
      <c r="B105" s="1" t="str">
        <f>IFERROR(INDEX(Players!$C$4:$C$503,MATCH(102,Players!$K$4:$K$503,0)),"")</f>
        <v/>
      </c>
      <c r="C105" s="1" t="str">
        <f>IFERROR(INDEX(Players!$D$4:$D$503,MATCH(102,Players!$K$4:$K$503,0)),"")</f>
        <v/>
      </c>
      <c r="D105" s="7" t="str">
        <f>IFERROR(INDEX(Players!$E$4:$E$503,MATCH(102,Players!$K$4:$K$503,0)),"")</f>
        <v/>
      </c>
      <c r="E105" s="1" t="str">
        <f>IFERROR(INDEX(Players!$G$4:$G$503,MATCH(102,Players!$K$4:$K$503,0)),"")</f>
        <v/>
      </c>
      <c r="F105" s="7" t="str">
        <f>IFERROR(INDEX(Players!$H$4:$H$503,MATCH(102,Players!$K$4:$K$503,0)),"")</f>
        <v/>
      </c>
      <c r="G105" s="1" t="str">
        <f>IFERROR(INDEX(Players!$I$4:$I$503,MATCH(102,Players!$K$4:$K$503,0)),"")</f>
        <v/>
      </c>
    </row>
    <row r="106" spans="1:7">
      <c r="A106" s="1" t="str">
        <f>IFERROR(INDEX(Players!$B$4:$B$503,MATCH(103,Players!$K$4:$K$503,0)),"")</f>
        <v/>
      </c>
      <c r="B106" s="1" t="str">
        <f>IFERROR(INDEX(Players!$C$4:$C$503,MATCH(103,Players!$K$4:$K$503,0)),"")</f>
        <v/>
      </c>
      <c r="C106" s="1" t="str">
        <f>IFERROR(INDEX(Players!$D$4:$D$503,MATCH(103,Players!$K$4:$K$503,0)),"")</f>
        <v/>
      </c>
      <c r="D106" s="7" t="str">
        <f>IFERROR(INDEX(Players!$E$4:$E$503,MATCH(103,Players!$K$4:$K$503,0)),"")</f>
        <v/>
      </c>
      <c r="E106" s="1" t="str">
        <f>IFERROR(INDEX(Players!$G$4:$G$503,MATCH(103,Players!$K$4:$K$503,0)),"")</f>
        <v/>
      </c>
      <c r="F106" s="7" t="str">
        <f>IFERROR(INDEX(Players!$H$4:$H$503,MATCH(103,Players!$K$4:$K$503,0)),"")</f>
        <v/>
      </c>
      <c r="G106" s="1" t="str">
        <f>IFERROR(INDEX(Players!$I$4:$I$503,MATCH(103,Players!$K$4:$K$503,0)),"")</f>
        <v/>
      </c>
    </row>
    <row r="107" spans="1:7">
      <c r="A107" s="1" t="str">
        <f>IFERROR(INDEX(Players!$B$4:$B$503,MATCH(104,Players!$K$4:$K$503,0)),"")</f>
        <v/>
      </c>
      <c r="B107" s="1" t="str">
        <f>IFERROR(INDEX(Players!$C$4:$C$503,MATCH(104,Players!$K$4:$K$503,0)),"")</f>
        <v/>
      </c>
      <c r="C107" s="1" t="str">
        <f>IFERROR(INDEX(Players!$D$4:$D$503,MATCH(104,Players!$K$4:$K$503,0)),"")</f>
        <v/>
      </c>
      <c r="D107" s="7" t="str">
        <f>IFERROR(INDEX(Players!$E$4:$E$503,MATCH(104,Players!$K$4:$K$503,0)),"")</f>
        <v/>
      </c>
      <c r="E107" s="1" t="str">
        <f>IFERROR(INDEX(Players!$G$4:$G$503,MATCH(104,Players!$K$4:$K$503,0)),"")</f>
        <v/>
      </c>
      <c r="F107" s="7" t="str">
        <f>IFERROR(INDEX(Players!$H$4:$H$503,MATCH(104,Players!$K$4:$K$503,0)),"")</f>
        <v/>
      </c>
      <c r="G107" s="1" t="str">
        <f>IFERROR(INDEX(Players!$I$4:$I$503,MATCH(104,Players!$K$4:$K$503,0)),"")</f>
        <v/>
      </c>
    </row>
    <row r="108" spans="1:7">
      <c r="A108" s="1" t="str">
        <f>IFERROR(INDEX(Players!$B$4:$B$503,MATCH(105,Players!$K$4:$K$503,0)),"")</f>
        <v/>
      </c>
      <c r="B108" s="1" t="str">
        <f>IFERROR(INDEX(Players!$C$4:$C$503,MATCH(105,Players!$K$4:$K$503,0)),"")</f>
        <v/>
      </c>
      <c r="C108" s="1" t="str">
        <f>IFERROR(INDEX(Players!$D$4:$D$503,MATCH(105,Players!$K$4:$K$503,0)),"")</f>
        <v/>
      </c>
      <c r="D108" s="7" t="str">
        <f>IFERROR(INDEX(Players!$E$4:$E$503,MATCH(105,Players!$K$4:$K$503,0)),"")</f>
        <v/>
      </c>
      <c r="E108" s="1" t="str">
        <f>IFERROR(INDEX(Players!$G$4:$G$503,MATCH(105,Players!$K$4:$K$503,0)),"")</f>
        <v/>
      </c>
      <c r="F108" s="7" t="str">
        <f>IFERROR(INDEX(Players!$H$4:$H$503,MATCH(105,Players!$K$4:$K$503,0)),"")</f>
        <v/>
      </c>
      <c r="G108" s="1" t="str">
        <f>IFERROR(INDEX(Players!$I$4:$I$503,MATCH(105,Players!$K$4:$K$503,0)),"")</f>
        <v/>
      </c>
    </row>
    <row r="109" spans="1:7">
      <c r="A109" s="1" t="str">
        <f>IFERROR(INDEX(Players!$B$4:$B$503,MATCH(106,Players!$K$4:$K$503,0)),"")</f>
        <v/>
      </c>
      <c r="B109" s="1" t="str">
        <f>IFERROR(INDEX(Players!$C$4:$C$503,MATCH(106,Players!$K$4:$K$503,0)),"")</f>
        <v/>
      </c>
      <c r="C109" s="1" t="str">
        <f>IFERROR(INDEX(Players!$D$4:$D$503,MATCH(106,Players!$K$4:$K$503,0)),"")</f>
        <v/>
      </c>
      <c r="D109" s="7" t="str">
        <f>IFERROR(INDEX(Players!$E$4:$E$503,MATCH(106,Players!$K$4:$K$503,0)),"")</f>
        <v/>
      </c>
      <c r="E109" s="1" t="str">
        <f>IFERROR(INDEX(Players!$G$4:$G$503,MATCH(106,Players!$K$4:$K$503,0)),"")</f>
        <v/>
      </c>
      <c r="F109" s="7" t="str">
        <f>IFERROR(INDEX(Players!$H$4:$H$503,MATCH(106,Players!$K$4:$K$503,0)),"")</f>
        <v/>
      </c>
      <c r="G109" s="1" t="str">
        <f>IFERROR(INDEX(Players!$I$4:$I$503,MATCH(106,Players!$K$4:$K$503,0)),"")</f>
        <v/>
      </c>
    </row>
    <row r="110" spans="1:7">
      <c r="A110" s="1" t="str">
        <f>IFERROR(INDEX(Players!$B$4:$B$503,MATCH(107,Players!$K$4:$K$503,0)),"")</f>
        <v/>
      </c>
      <c r="B110" s="1" t="str">
        <f>IFERROR(INDEX(Players!$C$4:$C$503,MATCH(107,Players!$K$4:$K$503,0)),"")</f>
        <v/>
      </c>
      <c r="C110" s="1" t="str">
        <f>IFERROR(INDEX(Players!$D$4:$D$503,MATCH(107,Players!$K$4:$K$503,0)),"")</f>
        <v/>
      </c>
      <c r="D110" s="7" t="str">
        <f>IFERROR(INDEX(Players!$E$4:$E$503,MATCH(107,Players!$K$4:$K$503,0)),"")</f>
        <v/>
      </c>
      <c r="E110" s="1" t="str">
        <f>IFERROR(INDEX(Players!$G$4:$G$503,MATCH(107,Players!$K$4:$K$503,0)),"")</f>
        <v/>
      </c>
      <c r="F110" s="7" t="str">
        <f>IFERROR(INDEX(Players!$H$4:$H$503,MATCH(107,Players!$K$4:$K$503,0)),"")</f>
        <v/>
      </c>
      <c r="G110" s="1" t="str">
        <f>IFERROR(INDEX(Players!$I$4:$I$503,MATCH(107,Players!$K$4:$K$503,0)),"")</f>
        <v/>
      </c>
    </row>
    <row r="111" spans="1:7">
      <c r="A111" s="1" t="str">
        <f>IFERROR(INDEX(Players!$B$4:$B$503,MATCH(108,Players!$K$4:$K$503,0)),"")</f>
        <v/>
      </c>
      <c r="B111" s="1" t="str">
        <f>IFERROR(INDEX(Players!$C$4:$C$503,MATCH(108,Players!$K$4:$K$503,0)),"")</f>
        <v/>
      </c>
      <c r="C111" s="1" t="str">
        <f>IFERROR(INDEX(Players!$D$4:$D$503,MATCH(108,Players!$K$4:$K$503,0)),"")</f>
        <v/>
      </c>
      <c r="D111" s="7" t="str">
        <f>IFERROR(INDEX(Players!$E$4:$E$503,MATCH(108,Players!$K$4:$K$503,0)),"")</f>
        <v/>
      </c>
      <c r="E111" s="1" t="str">
        <f>IFERROR(INDEX(Players!$G$4:$G$503,MATCH(108,Players!$K$4:$K$503,0)),"")</f>
        <v/>
      </c>
      <c r="F111" s="7" t="str">
        <f>IFERROR(INDEX(Players!$H$4:$H$503,MATCH(108,Players!$K$4:$K$503,0)),"")</f>
        <v/>
      </c>
      <c r="G111" s="1" t="str">
        <f>IFERROR(INDEX(Players!$I$4:$I$503,MATCH(108,Players!$K$4:$K$503,0)),"")</f>
        <v/>
      </c>
    </row>
    <row r="112" spans="1:7">
      <c r="A112" s="1" t="str">
        <f>IFERROR(INDEX(Players!$B$4:$B$503,MATCH(109,Players!$K$4:$K$503,0)),"")</f>
        <v/>
      </c>
      <c r="B112" s="1" t="str">
        <f>IFERROR(INDEX(Players!$C$4:$C$503,MATCH(109,Players!$K$4:$K$503,0)),"")</f>
        <v/>
      </c>
      <c r="C112" s="1" t="str">
        <f>IFERROR(INDEX(Players!$D$4:$D$503,MATCH(109,Players!$K$4:$K$503,0)),"")</f>
        <v/>
      </c>
      <c r="D112" s="7" t="str">
        <f>IFERROR(INDEX(Players!$E$4:$E$503,MATCH(109,Players!$K$4:$K$503,0)),"")</f>
        <v/>
      </c>
      <c r="E112" s="1" t="str">
        <f>IFERROR(INDEX(Players!$G$4:$G$503,MATCH(109,Players!$K$4:$K$503,0)),"")</f>
        <v/>
      </c>
      <c r="F112" s="7" t="str">
        <f>IFERROR(INDEX(Players!$H$4:$H$503,MATCH(109,Players!$K$4:$K$503,0)),"")</f>
        <v/>
      </c>
      <c r="G112" s="1" t="str">
        <f>IFERROR(INDEX(Players!$I$4:$I$503,MATCH(109,Players!$K$4:$K$503,0)),"")</f>
        <v/>
      </c>
    </row>
    <row r="113" spans="1:7">
      <c r="A113" s="1" t="str">
        <f>IFERROR(INDEX(Players!$B$4:$B$503,MATCH(110,Players!$K$4:$K$503,0)),"")</f>
        <v/>
      </c>
      <c r="B113" s="1" t="str">
        <f>IFERROR(INDEX(Players!$C$4:$C$503,MATCH(110,Players!$K$4:$K$503,0)),"")</f>
        <v/>
      </c>
      <c r="C113" s="1" t="str">
        <f>IFERROR(INDEX(Players!$D$4:$D$503,MATCH(110,Players!$K$4:$K$503,0)),"")</f>
        <v/>
      </c>
      <c r="D113" s="7" t="str">
        <f>IFERROR(INDEX(Players!$E$4:$E$503,MATCH(110,Players!$K$4:$K$503,0)),"")</f>
        <v/>
      </c>
      <c r="E113" s="1" t="str">
        <f>IFERROR(INDEX(Players!$G$4:$G$503,MATCH(110,Players!$K$4:$K$503,0)),"")</f>
        <v/>
      </c>
      <c r="F113" s="7" t="str">
        <f>IFERROR(INDEX(Players!$H$4:$H$503,MATCH(110,Players!$K$4:$K$503,0)),"")</f>
        <v/>
      </c>
      <c r="G113" s="1" t="str">
        <f>IFERROR(INDEX(Players!$I$4:$I$503,MATCH(110,Players!$K$4:$K$503,0)),"")</f>
        <v/>
      </c>
    </row>
    <row r="114" spans="1:7">
      <c r="A114" s="1" t="str">
        <f>IFERROR(INDEX(Players!$B$4:$B$503,MATCH(111,Players!$K$4:$K$503,0)),"")</f>
        <v/>
      </c>
      <c r="B114" s="1" t="str">
        <f>IFERROR(INDEX(Players!$C$4:$C$503,MATCH(111,Players!$K$4:$K$503,0)),"")</f>
        <v/>
      </c>
      <c r="C114" s="1" t="str">
        <f>IFERROR(INDEX(Players!$D$4:$D$503,MATCH(111,Players!$K$4:$K$503,0)),"")</f>
        <v/>
      </c>
      <c r="D114" s="7" t="str">
        <f>IFERROR(INDEX(Players!$E$4:$E$503,MATCH(111,Players!$K$4:$K$503,0)),"")</f>
        <v/>
      </c>
      <c r="E114" s="1" t="str">
        <f>IFERROR(INDEX(Players!$G$4:$G$503,MATCH(111,Players!$K$4:$K$503,0)),"")</f>
        <v/>
      </c>
      <c r="F114" s="7" t="str">
        <f>IFERROR(INDEX(Players!$H$4:$H$503,MATCH(111,Players!$K$4:$K$503,0)),"")</f>
        <v/>
      </c>
      <c r="G114" s="1" t="str">
        <f>IFERROR(INDEX(Players!$I$4:$I$503,MATCH(111,Players!$K$4:$K$503,0)),"")</f>
        <v/>
      </c>
    </row>
    <row r="115" spans="1:7">
      <c r="A115" s="1" t="str">
        <f>IFERROR(INDEX(Players!$B$4:$B$503,MATCH(112,Players!$K$4:$K$503,0)),"")</f>
        <v/>
      </c>
      <c r="B115" s="1" t="str">
        <f>IFERROR(INDEX(Players!$C$4:$C$503,MATCH(112,Players!$K$4:$K$503,0)),"")</f>
        <v/>
      </c>
      <c r="C115" s="1" t="str">
        <f>IFERROR(INDEX(Players!$D$4:$D$503,MATCH(112,Players!$K$4:$K$503,0)),"")</f>
        <v/>
      </c>
      <c r="D115" s="7" t="str">
        <f>IFERROR(INDEX(Players!$E$4:$E$503,MATCH(112,Players!$K$4:$K$503,0)),"")</f>
        <v/>
      </c>
      <c r="E115" s="1" t="str">
        <f>IFERROR(INDEX(Players!$G$4:$G$503,MATCH(112,Players!$K$4:$K$503,0)),"")</f>
        <v/>
      </c>
      <c r="F115" s="7" t="str">
        <f>IFERROR(INDEX(Players!$H$4:$H$503,MATCH(112,Players!$K$4:$K$503,0)),"")</f>
        <v/>
      </c>
      <c r="G115" s="1" t="str">
        <f>IFERROR(INDEX(Players!$I$4:$I$503,MATCH(112,Players!$K$4:$K$503,0)),"")</f>
        <v/>
      </c>
    </row>
    <row r="116" spans="1:7">
      <c r="A116" s="1" t="str">
        <f>IFERROR(INDEX(Players!$B$4:$B$503,MATCH(113,Players!$K$4:$K$503,0)),"")</f>
        <v/>
      </c>
      <c r="B116" s="1" t="str">
        <f>IFERROR(INDEX(Players!$C$4:$C$503,MATCH(113,Players!$K$4:$K$503,0)),"")</f>
        <v/>
      </c>
      <c r="C116" s="1" t="str">
        <f>IFERROR(INDEX(Players!$D$4:$D$503,MATCH(113,Players!$K$4:$K$503,0)),"")</f>
        <v/>
      </c>
      <c r="D116" s="7" t="str">
        <f>IFERROR(INDEX(Players!$E$4:$E$503,MATCH(113,Players!$K$4:$K$503,0)),"")</f>
        <v/>
      </c>
      <c r="E116" s="1" t="str">
        <f>IFERROR(INDEX(Players!$G$4:$G$503,MATCH(113,Players!$K$4:$K$503,0)),"")</f>
        <v/>
      </c>
      <c r="F116" s="7" t="str">
        <f>IFERROR(INDEX(Players!$H$4:$H$503,MATCH(113,Players!$K$4:$K$503,0)),"")</f>
        <v/>
      </c>
      <c r="G116" s="1" t="str">
        <f>IFERROR(INDEX(Players!$I$4:$I$503,MATCH(113,Players!$K$4:$K$503,0)),"")</f>
        <v/>
      </c>
    </row>
    <row r="117" spans="1:7">
      <c r="A117" s="1" t="str">
        <f>IFERROR(INDEX(Players!$B$4:$B$503,MATCH(114,Players!$K$4:$K$503,0)),"")</f>
        <v/>
      </c>
      <c r="B117" s="1" t="str">
        <f>IFERROR(INDEX(Players!$C$4:$C$503,MATCH(114,Players!$K$4:$K$503,0)),"")</f>
        <v/>
      </c>
      <c r="C117" s="1" t="str">
        <f>IFERROR(INDEX(Players!$D$4:$D$503,MATCH(114,Players!$K$4:$K$503,0)),"")</f>
        <v/>
      </c>
      <c r="D117" s="7" t="str">
        <f>IFERROR(INDEX(Players!$E$4:$E$503,MATCH(114,Players!$K$4:$K$503,0)),"")</f>
        <v/>
      </c>
      <c r="E117" s="1" t="str">
        <f>IFERROR(INDEX(Players!$G$4:$G$503,MATCH(114,Players!$K$4:$K$503,0)),"")</f>
        <v/>
      </c>
      <c r="F117" s="7" t="str">
        <f>IFERROR(INDEX(Players!$H$4:$H$503,MATCH(114,Players!$K$4:$K$503,0)),"")</f>
        <v/>
      </c>
      <c r="G117" s="1" t="str">
        <f>IFERROR(INDEX(Players!$I$4:$I$503,MATCH(114,Players!$K$4:$K$503,0)),"")</f>
        <v/>
      </c>
    </row>
    <row r="118" spans="1:7">
      <c r="A118" s="1" t="str">
        <f>IFERROR(INDEX(Players!$B$4:$B$503,MATCH(115,Players!$K$4:$K$503,0)),"")</f>
        <v/>
      </c>
      <c r="B118" s="1" t="str">
        <f>IFERROR(INDEX(Players!$C$4:$C$503,MATCH(115,Players!$K$4:$K$503,0)),"")</f>
        <v/>
      </c>
      <c r="C118" s="1" t="str">
        <f>IFERROR(INDEX(Players!$D$4:$D$503,MATCH(115,Players!$K$4:$K$503,0)),"")</f>
        <v/>
      </c>
      <c r="D118" s="7" t="str">
        <f>IFERROR(INDEX(Players!$E$4:$E$503,MATCH(115,Players!$K$4:$K$503,0)),"")</f>
        <v/>
      </c>
      <c r="E118" s="1" t="str">
        <f>IFERROR(INDEX(Players!$G$4:$G$503,MATCH(115,Players!$K$4:$K$503,0)),"")</f>
        <v/>
      </c>
      <c r="F118" s="7" t="str">
        <f>IFERROR(INDEX(Players!$H$4:$H$503,MATCH(115,Players!$K$4:$K$503,0)),"")</f>
        <v/>
      </c>
      <c r="G118" s="1" t="str">
        <f>IFERROR(INDEX(Players!$I$4:$I$503,MATCH(115,Players!$K$4:$K$503,0)),"")</f>
        <v/>
      </c>
    </row>
    <row r="119" spans="1:7">
      <c r="A119" s="1" t="str">
        <f>IFERROR(INDEX(Players!$B$4:$B$503,MATCH(116,Players!$K$4:$K$503,0)),"")</f>
        <v/>
      </c>
      <c r="B119" s="1" t="str">
        <f>IFERROR(INDEX(Players!$C$4:$C$503,MATCH(116,Players!$K$4:$K$503,0)),"")</f>
        <v/>
      </c>
      <c r="C119" s="1" t="str">
        <f>IFERROR(INDEX(Players!$D$4:$D$503,MATCH(116,Players!$K$4:$K$503,0)),"")</f>
        <v/>
      </c>
      <c r="D119" s="7" t="str">
        <f>IFERROR(INDEX(Players!$E$4:$E$503,MATCH(116,Players!$K$4:$K$503,0)),"")</f>
        <v/>
      </c>
      <c r="E119" s="1" t="str">
        <f>IFERROR(INDEX(Players!$G$4:$G$503,MATCH(116,Players!$K$4:$K$503,0)),"")</f>
        <v/>
      </c>
      <c r="F119" s="7" t="str">
        <f>IFERROR(INDEX(Players!$H$4:$H$503,MATCH(116,Players!$K$4:$K$503,0)),"")</f>
        <v/>
      </c>
      <c r="G119" s="1" t="str">
        <f>IFERROR(INDEX(Players!$I$4:$I$503,MATCH(116,Players!$K$4:$K$503,0)),"")</f>
        <v/>
      </c>
    </row>
    <row r="120" spans="1:7">
      <c r="A120" s="1" t="str">
        <f>IFERROR(INDEX(Players!$B$4:$B$503,MATCH(117,Players!$K$4:$K$503,0)),"")</f>
        <v/>
      </c>
      <c r="B120" s="1" t="str">
        <f>IFERROR(INDEX(Players!$C$4:$C$503,MATCH(117,Players!$K$4:$K$503,0)),"")</f>
        <v/>
      </c>
      <c r="C120" s="1" t="str">
        <f>IFERROR(INDEX(Players!$D$4:$D$503,MATCH(117,Players!$K$4:$K$503,0)),"")</f>
        <v/>
      </c>
      <c r="D120" s="7" t="str">
        <f>IFERROR(INDEX(Players!$E$4:$E$503,MATCH(117,Players!$K$4:$K$503,0)),"")</f>
        <v/>
      </c>
      <c r="E120" s="1" t="str">
        <f>IFERROR(INDEX(Players!$G$4:$G$503,MATCH(117,Players!$K$4:$K$503,0)),"")</f>
        <v/>
      </c>
      <c r="F120" s="7" t="str">
        <f>IFERROR(INDEX(Players!$H$4:$H$503,MATCH(117,Players!$K$4:$K$503,0)),"")</f>
        <v/>
      </c>
      <c r="G120" s="1" t="str">
        <f>IFERROR(INDEX(Players!$I$4:$I$503,MATCH(117,Players!$K$4:$K$503,0)),"")</f>
        <v/>
      </c>
    </row>
    <row r="121" spans="1:7">
      <c r="A121" s="1" t="str">
        <f>IFERROR(INDEX(Players!$B$4:$B$503,MATCH(118,Players!$K$4:$K$503,0)),"")</f>
        <v/>
      </c>
      <c r="B121" s="1" t="str">
        <f>IFERROR(INDEX(Players!$C$4:$C$503,MATCH(118,Players!$K$4:$K$503,0)),"")</f>
        <v/>
      </c>
      <c r="C121" s="1" t="str">
        <f>IFERROR(INDEX(Players!$D$4:$D$503,MATCH(118,Players!$K$4:$K$503,0)),"")</f>
        <v/>
      </c>
      <c r="D121" s="7" t="str">
        <f>IFERROR(INDEX(Players!$E$4:$E$503,MATCH(118,Players!$K$4:$K$503,0)),"")</f>
        <v/>
      </c>
      <c r="E121" s="1" t="str">
        <f>IFERROR(INDEX(Players!$G$4:$G$503,MATCH(118,Players!$K$4:$K$503,0)),"")</f>
        <v/>
      </c>
      <c r="F121" s="7" t="str">
        <f>IFERROR(INDEX(Players!$H$4:$H$503,MATCH(118,Players!$K$4:$K$503,0)),"")</f>
        <v/>
      </c>
      <c r="G121" s="1" t="str">
        <f>IFERROR(INDEX(Players!$I$4:$I$503,MATCH(118,Players!$K$4:$K$503,0)),"")</f>
        <v/>
      </c>
    </row>
    <row r="122" spans="1:7">
      <c r="A122" s="1" t="str">
        <f>IFERROR(INDEX(Players!$B$4:$B$503,MATCH(119,Players!$K$4:$K$503,0)),"")</f>
        <v/>
      </c>
      <c r="B122" s="1" t="str">
        <f>IFERROR(INDEX(Players!$C$4:$C$503,MATCH(119,Players!$K$4:$K$503,0)),"")</f>
        <v/>
      </c>
      <c r="C122" s="1" t="str">
        <f>IFERROR(INDEX(Players!$D$4:$D$503,MATCH(119,Players!$K$4:$K$503,0)),"")</f>
        <v/>
      </c>
      <c r="D122" s="7" t="str">
        <f>IFERROR(INDEX(Players!$E$4:$E$503,MATCH(119,Players!$K$4:$K$503,0)),"")</f>
        <v/>
      </c>
      <c r="E122" s="1" t="str">
        <f>IFERROR(INDEX(Players!$G$4:$G$503,MATCH(119,Players!$K$4:$K$503,0)),"")</f>
        <v/>
      </c>
      <c r="F122" s="7" t="str">
        <f>IFERROR(INDEX(Players!$H$4:$H$503,MATCH(119,Players!$K$4:$K$503,0)),"")</f>
        <v/>
      </c>
      <c r="G122" s="1" t="str">
        <f>IFERROR(INDEX(Players!$I$4:$I$503,MATCH(119,Players!$K$4:$K$503,0)),"")</f>
        <v/>
      </c>
    </row>
    <row r="123" spans="1:7">
      <c r="A123" s="1" t="str">
        <f>IFERROR(INDEX(Players!$B$4:$B$503,MATCH(120,Players!$K$4:$K$503,0)),"")</f>
        <v/>
      </c>
      <c r="B123" s="1" t="str">
        <f>IFERROR(INDEX(Players!$C$4:$C$503,MATCH(120,Players!$K$4:$K$503,0)),"")</f>
        <v/>
      </c>
      <c r="C123" s="1" t="str">
        <f>IFERROR(INDEX(Players!$D$4:$D$503,MATCH(120,Players!$K$4:$K$503,0)),"")</f>
        <v/>
      </c>
      <c r="D123" s="7" t="str">
        <f>IFERROR(INDEX(Players!$E$4:$E$503,MATCH(120,Players!$K$4:$K$503,0)),"")</f>
        <v/>
      </c>
      <c r="E123" s="1" t="str">
        <f>IFERROR(INDEX(Players!$G$4:$G$503,MATCH(120,Players!$K$4:$K$503,0)),"")</f>
        <v/>
      </c>
      <c r="F123" s="7" t="str">
        <f>IFERROR(INDEX(Players!$H$4:$H$503,MATCH(120,Players!$K$4:$K$503,0)),"")</f>
        <v/>
      </c>
      <c r="G123" s="1" t="str">
        <f>IFERROR(INDEX(Players!$I$4:$I$503,MATCH(120,Players!$K$4:$K$503,0)),"")</f>
        <v/>
      </c>
    </row>
    <row r="124" spans="1:7">
      <c r="A124" s="1" t="str">
        <f>IFERROR(INDEX(Players!$B$4:$B$503,MATCH(121,Players!$K$4:$K$503,0)),"")</f>
        <v/>
      </c>
      <c r="B124" s="1" t="str">
        <f>IFERROR(INDEX(Players!$C$4:$C$503,MATCH(121,Players!$K$4:$K$503,0)),"")</f>
        <v/>
      </c>
      <c r="C124" s="1" t="str">
        <f>IFERROR(INDEX(Players!$D$4:$D$503,MATCH(121,Players!$K$4:$K$503,0)),"")</f>
        <v/>
      </c>
      <c r="D124" s="7" t="str">
        <f>IFERROR(INDEX(Players!$E$4:$E$503,MATCH(121,Players!$K$4:$K$503,0)),"")</f>
        <v/>
      </c>
      <c r="E124" s="1" t="str">
        <f>IFERROR(INDEX(Players!$G$4:$G$503,MATCH(121,Players!$K$4:$K$503,0)),"")</f>
        <v/>
      </c>
      <c r="F124" s="7" t="str">
        <f>IFERROR(INDEX(Players!$H$4:$H$503,MATCH(121,Players!$K$4:$K$503,0)),"")</f>
        <v/>
      </c>
      <c r="G124" s="1" t="str">
        <f>IFERROR(INDEX(Players!$I$4:$I$503,MATCH(121,Players!$K$4:$K$503,0)),"")</f>
        <v/>
      </c>
    </row>
    <row r="125" spans="1:7">
      <c r="A125" s="1" t="str">
        <f>IFERROR(INDEX(Players!$B$4:$B$503,MATCH(122,Players!$K$4:$K$503,0)),"")</f>
        <v/>
      </c>
      <c r="B125" s="1" t="str">
        <f>IFERROR(INDEX(Players!$C$4:$C$503,MATCH(122,Players!$K$4:$K$503,0)),"")</f>
        <v/>
      </c>
      <c r="C125" s="1" t="str">
        <f>IFERROR(INDEX(Players!$D$4:$D$503,MATCH(122,Players!$K$4:$K$503,0)),"")</f>
        <v/>
      </c>
      <c r="D125" s="7" t="str">
        <f>IFERROR(INDEX(Players!$E$4:$E$503,MATCH(122,Players!$K$4:$K$503,0)),"")</f>
        <v/>
      </c>
      <c r="E125" s="1" t="str">
        <f>IFERROR(INDEX(Players!$G$4:$G$503,MATCH(122,Players!$K$4:$K$503,0)),"")</f>
        <v/>
      </c>
      <c r="F125" s="7" t="str">
        <f>IFERROR(INDEX(Players!$H$4:$H$503,MATCH(122,Players!$K$4:$K$503,0)),"")</f>
        <v/>
      </c>
      <c r="G125" s="1" t="str">
        <f>IFERROR(INDEX(Players!$I$4:$I$503,MATCH(122,Players!$K$4:$K$503,0)),"")</f>
        <v/>
      </c>
    </row>
    <row r="126" spans="1:7">
      <c r="A126" s="1" t="str">
        <f>IFERROR(INDEX(Players!$B$4:$B$503,MATCH(123,Players!$K$4:$K$503,0)),"")</f>
        <v/>
      </c>
      <c r="B126" s="1" t="str">
        <f>IFERROR(INDEX(Players!$C$4:$C$503,MATCH(123,Players!$K$4:$K$503,0)),"")</f>
        <v/>
      </c>
      <c r="C126" s="1" t="str">
        <f>IFERROR(INDEX(Players!$D$4:$D$503,MATCH(123,Players!$K$4:$K$503,0)),"")</f>
        <v/>
      </c>
      <c r="D126" s="7" t="str">
        <f>IFERROR(INDEX(Players!$E$4:$E$503,MATCH(123,Players!$K$4:$K$503,0)),"")</f>
        <v/>
      </c>
      <c r="E126" s="1" t="str">
        <f>IFERROR(INDEX(Players!$G$4:$G$503,MATCH(123,Players!$K$4:$K$503,0)),"")</f>
        <v/>
      </c>
      <c r="F126" s="7" t="str">
        <f>IFERROR(INDEX(Players!$H$4:$H$503,MATCH(123,Players!$K$4:$K$503,0)),"")</f>
        <v/>
      </c>
      <c r="G126" s="1" t="str">
        <f>IFERROR(INDEX(Players!$I$4:$I$503,MATCH(123,Players!$K$4:$K$503,0)),"")</f>
        <v/>
      </c>
    </row>
    <row r="127" spans="1:7">
      <c r="A127" s="1" t="str">
        <f>IFERROR(INDEX(Players!$B$4:$B$503,MATCH(124,Players!$K$4:$K$503,0)),"")</f>
        <v/>
      </c>
      <c r="B127" s="1" t="str">
        <f>IFERROR(INDEX(Players!$C$4:$C$503,MATCH(124,Players!$K$4:$K$503,0)),"")</f>
        <v/>
      </c>
      <c r="C127" s="1" t="str">
        <f>IFERROR(INDEX(Players!$D$4:$D$503,MATCH(124,Players!$K$4:$K$503,0)),"")</f>
        <v/>
      </c>
      <c r="D127" s="7" t="str">
        <f>IFERROR(INDEX(Players!$E$4:$E$503,MATCH(124,Players!$K$4:$K$503,0)),"")</f>
        <v/>
      </c>
      <c r="E127" s="1" t="str">
        <f>IFERROR(INDEX(Players!$G$4:$G$503,MATCH(124,Players!$K$4:$K$503,0)),"")</f>
        <v/>
      </c>
      <c r="F127" s="7" t="str">
        <f>IFERROR(INDEX(Players!$H$4:$H$503,MATCH(124,Players!$K$4:$K$503,0)),"")</f>
        <v/>
      </c>
      <c r="G127" s="1" t="str">
        <f>IFERROR(INDEX(Players!$I$4:$I$503,MATCH(124,Players!$K$4:$K$503,0)),"")</f>
        <v/>
      </c>
    </row>
    <row r="128" spans="1:7">
      <c r="A128" s="1" t="str">
        <f>IFERROR(INDEX(Players!$B$4:$B$503,MATCH(125,Players!$K$4:$K$503,0)),"")</f>
        <v/>
      </c>
      <c r="B128" s="1" t="str">
        <f>IFERROR(INDEX(Players!$C$4:$C$503,MATCH(125,Players!$K$4:$K$503,0)),"")</f>
        <v/>
      </c>
      <c r="C128" s="1" t="str">
        <f>IFERROR(INDEX(Players!$D$4:$D$503,MATCH(125,Players!$K$4:$K$503,0)),"")</f>
        <v/>
      </c>
      <c r="D128" s="7" t="str">
        <f>IFERROR(INDEX(Players!$E$4:$E$503,MATCH(125,Players!$K$4:$K$503,0)),"")</f>
        <v/>
      </c>
      <c r="E128" s="1" t="str">
        <f>IFERROR(INDEX(Players!$G$4:$G$503,MATCH(125,Players!$K$4:$K$503,0)),"")</f>
        <v/>
      </c>
      <c r="F128" s="7" t="str">
        <f>IFERROR(INDEX(Players!$H$4:$H$503,MATCH(125,Players!$K$4:$K$503,0)),"")</f>
        <v/>
      </c>
      <c r="G128" s="1" t="str">
        <f>IFERROR(INDEX(Players!$I$4:$I$503,MATCH(125,Players!$K$4:$K$503,0)),"")</f>
        <v/>
      </c>
    </row>
    <row r="129" spans="1:7">
      <c r="A129" s="1" t="str">
        <f>IFERROR(INDEX(Players!$B$4:$B$503,MATCH(126,Players!$K$4:$K$503,0)),"")</f>
        <v/>
      </c>
      <c r="B129" s="1" t="str">
        <f>IFERROR(INDEX(Players!$C$4:$C$503,MATCH(126,Players!$K$4:$K$503,0)),"")</f>
        <v/>
      </c>
      <c r="C129" s="1" t="str">
        <f>IFERROR(INDEX(Players!$D$4:$D$503,MATCH(126,Players!$K$4:$K$503,0)),"")</f>
        <v/>
      </c>
      <c r="D129" s="7" t="str">
        <f>IFERROR(INDEX(Players!$E$4:$E$503,MATCH(126,Players!$K$4:$K$503,0)),"")</f>
        <v/>
      </c>
      <c r="E129" s="1" t="str">
        <f>IFERROR(INDEX(Players!$G$4:$G$503,MATCH(126,Players!$K$4:$K$503,0)),"")</f>
        <v/>
      </c>
      <c r="F129" s="7" t="str">
        <f>IFERROR(INDEX(Players!$H$4:$H$503,MATCH(126,Players!$K$4:$K$503,0)),"")</f>
        <v/>
      </c>
      <c r="G129" s="1" t="str">
        <f>IFERROR(INDEX(Players!$I$4:$I$503,MATCH(126,Players!$K$4:$K$503,0)),"")</f>
        <v/>
      </c>
    </row>
    <row r="130" spans="1:7">
      <c r="A130" s="1" t="str">
        <f>IFERROR(INDEX(Players!$B$4:$B$503,MATCH(127,Players!$K$4:$K$503,0)),"")</f>
        <v/>
      </c>
      <c r="B130" s="1" t="str">
        <f>IFERROR(INDEX(Players!$C$4:$C$503,MATCH(127,Players!$K$4:$K$503,0)),"")</f>
        <v/>
      </c>
      <c r="C130" s="1" t="str">
        <f>IFERROR(INDEX(Players!$D$4:$D$503,MATCH(127,Players!$K$4:$K$503,0)),"")</f>
        <v/>
      </c>
      <c r="D130" s="7" t="str">
        <f>IFERROR(INDEX(Players!$E$4:$E$503,MATCH(127,Players!$K$4:$K$503,0)),"")</f>
        <v/>
      </c>
      <c r="E130" s="1" t="str">
        <f>IFERROR(INDEX(Players!$G$4:$G$503,MATCH(127,Players!$K$4:$K$503,0)),"")</f>
        <v/>
      </c>
      <c r="F130" s="7" t="str">
        <f>IFERROR(INDEX(Players!$H$4:$H$503,MATCH(127,Players!$K$4:$K$503,0)),"")</f>
        <v/>
      </c>
      <c r="G130" s="1" t="str">
        <f>IFERROR(INDEX(Players!$I$4:$I$503,MATCH(127,Players!$K$4:$K$503,0)),"")</f>
        <v/>
      </c>
    </row>
    <row r="131" spans="1:7">
      <c r="A131" s="1" t="str">
        <f>IFERROR(INDEX(Players!$B$4:$B$503,MATCH(128,Players!$K$4:$K$503,0)),"")</f>
        <v/>
      </c>
      <c r="B131" s="1" t="str">
        <f>IFERROR(INDEX(Players!$C$4:$C$503,MATCH(128,Players!$K$4:$K$503,0)),"")</f>
        <v/>
      </c>
      <c r="C131" s="1" t="str">
        <f>IFERROR(INDEX(Players!$D$4:$D$503,MATCH(128,Players!$K$4:$K$503,0)),"")</f>
        <v/>
      </c>
      <c r="D131" s="7" t="str">
        <f>IFERROR(INDEX(Players!$E$4:$E$503,MATCH(128,Players!$K$4:$K$503,0)),"")</f>
        <v/>
      </c>
      <c r="E131" s="1" t="str">
        <f>IFERROR(INDEX(Players!$G$4:$G$503,MATCH(128,Players!$K$4:$K$503,0)),"")</f>
        <v/>
      </c>
      <c r="F131" s="7" t="str">
        <f>IFERROR(INDEX(Players!$H$4:$H$503,MATCH(128,Players!$K$4:$K$503,0)),"")</f>
        <v/>
      </c>
      <c r="G131" s="1" t="str">
        <f>IFERROR(INDEX(Players!$I$4:$I$503,MATCH(128,Players!$K$4:$K$503,0)),"")</f>
        <v/>
      </c>
    </row>
    <row r="132" spans="1:7">
      <c r="A132" s="1" t="str">
        <f>IFERROR(INDEX(Players!$B$4:$B$503,MATCH(129,Players!$K$4:$K$503,0)),"")</f>
        <v/>
      </c>
      <c r="B132" s="1" t="str">
        <f>IFERROR(INDEX(Players!$C$4:$C$503,MATCH(129,Players!$K$4:$K$503,0)),"")</f>
        <v/>
      </c>
      <c r="C132" s="1" t="str">
        <f>IFERROR(INDEX(Players!$D$4:$D$503,MATCH(129,Players!$K$4:$K$503,0)),"")</f>
        <v/>
      </c>
      <c r="D132" s="7" t="str">
        <f>IFERROR(INDEX(Players!$E$4:$E$503,MATCH(129,Players!$K$4:$K$503,0)),"")</f>
        <v/>
      </c>
      <c r="E132" s="1" t="str">
        <f>IFERROR(INDEX(Players!$G$4:$G$503,MATCH(129,Players!$K$4:$K$503,0)),"")</f>
        <v/>
      </c>
      <c r="F132" s="7" t="str">
        <f>IFERROR(INDEX(Players!$H$4:$H$503,MATCH(129,Players!$K$4:$K$503,0)),"")</f>
        <v/>
      </c>
      <c r="G132" s="1" t="str">
        <f>IFERROR(INDEX(Players!$I$4:$I$503,MATCH(129,Players!$K$4:$K$503,0)),"")</f>
        <v/>
      </c>
    </row>
    <row r="133" spans="1:7">
      <c r="A133" s="1" t="str">
        <f>IFERROR(INDEX(Players!$B$4:$B$503,MATCH(130,Players!$K$4:$K$503,0)),"")</f>
        <v/>
      </c>
      <c r="B133" s="1" t="str">
        <f>IFERROR(INDEX(Players!$C$4:$C$503,MATCH(130,Players!$K$4:$K$503,0)),"")</f>
        <v/>
      </c>
      <c r="C133" s="1" t="str">
        <f>IFERROR(INDEX(Players!$D$4:$D$503,MATCH(130,Players!$K$4:$K$503,0)),"")</f>
        <v/>
      </c>
      <c r="D133" s="7" t="str">
        <f>IFERROR(INDEX(Players!$E$4:$E$503,MATCH(130,Players!$K$4:$K$503,0)),"")</f>
        <v/>
      </c>
      <c r="E133" s="1" t="str">
        <f>IFERROR(INDEX(Players!$G$4:$G$503,MATCH(130,Players!$K$4:$K$503,0)),"")</f>
        <v/>
      </c>
      <c r="F133" s="7" t="str">
        <f>IFERROR(INDEX(Players!$H$4:$H$503,MATCH(130,Players!$K$4:$K$503,0)),"")</f>
        <v/>
      </c>
      <c r="G133" s="1" t="str">
        <f>IFERROR(INDEX(Players!$I$4:$I$503,MATCH(130,Players!$K$4:$K$503,0)),"")</f>
        <v/>
      </c>
    </row>
    <row r="134" spans="1:7">
      <c r="A134" s="1" t="str">
        <f>IFERROR(INDEX(Players!$B$4:$B$503,MATCH(131,Players!$K$4:$K$503,0)),"")</f>
        <v/>
      </c>
      <c r="B134" s="1" t="str">
        <f>IFERROR(INDEX(Players!$C$4:$C$503,MATCH(131,Players!$K$4:$K$503,0)),"")</f>
        <v/>
      </c>
      <c r="C134" s="1" t="str">
        <f>IFERROR(INDEX(Players!$D$4:$D$503,MATCH(131,Players!$K$4:$K$503,0)),"")</f>
        <v/>
      </c>
      <c r="D134" s="7" t="str">
        <f>IFERROR(INDEX(Players!$E$4:$E$503,MATCH(131,Players!$K$4:$K$503,0)),"")</f>
        <v/>
      </c>
      <c r="E134" s="1" t="str">
        <f>IFERROR(INDEX(Players!$G$4:$G$503,MATCH(131,Players!$K$4:$K$503,0)),"")</f>
        <v/>
      </c>
      <c r="F134" s="7" t="str">
        <f>IFERROR(INDEX(Players!$H$4:$H$503,MATCH(131,Players!$K$4:$K$503,0)),"")</f>
        <v/>
      </c>
      <c r="G134" s="1" t="str">
        <f>IFERROR(INDEX(Players!$I$4:$I$503,MATCH(131,Players!$K$4:$K$503,0)),"")</f>
        <v/>
      </c>
    </row>
    <row r="135" spans="1:7">
      <c r="A135" s="1" t="str">
        <f>IFERROR(INDEX(Players!$B$4:$B$503,MATCH(132,Players!$K$4:$K$503,0)),"")</f>
        <v/>
      </c>
      <c r="B135" s="1" t="str">
        <f>IFERROR(INDEX(Players!$C$4:$C$503,MATCH(132,Players!$K$4:$K$503,0)),"")</f>
        <v/>
      </c>
      <c r="C135" s="1" t="str">
        <f>IFERROR(INDEX(Players!$D$4:$D$503,MATCH(132,Players!$K$4:$K$503,0)),"")</f>
        <v/>
      </c>
      <c r="D135" s="7" t="str">
        <f>IFERROR(INDEX(Players!$E$4:$E$503,MATCH(132,Players!$K$4:$K$503,0)),"")</f>
        <v/>
      </c>
      <c r="E135" s="1" t="str">
        <f>IFERROR(INDEX(Players!$G$4:$G$503,MATCH(132,Players!$K$4:$K$503,0)),"")</f>
        <v/>
      </c>
      <c r="F135" s="7" t="str">
        <f>IFERROR(INDEX(Players!$H$4:$H$503,MATCH(132,Players!$K$4:$K$503,0)),"")</f>
        <v/>
      </c>
      <c r="G135" s="1" t="str">
        <f>IFERROR(INDEX(Players!$I$4:$I$503,MATCH(132,Players!$K$4:$K$503,0)),"")</f>
        <v/>
      </c>
    </row>
    <row r="136" spans="1:7">
      <c r="A136" s="1" t="str">
        <f>IFERROR(INDEX(Players!$B$4:$B$503,MATCH(133,Players!$K$4:$K$503,0)),"")</f>
        <v/>
      </c>
      <c r="B136" s="1" t="str">
        <f>IFERROR(INDEX(Players!$C$4:$C$503,MATCH(133,Players!$K$4:$K$503,0)),"")</f>
        <v/>
      </c>
      <c r="C136" s="1" t="str">
        <f>IFERROR(INDEX(Players!$D$4:$D$503,MATCH(133,Players!$K$4:$K$503,0)),"")</f>
        <v/>
      </c>
      <c r="D136" s="7" t="str">
        <f>IFERROR(INDEX(Players!$E$4:$E$503,MATCH(133,Players!$K$4:$K$503,0)),"")</f>
        <v/>
      </c>
      <c r="E136" s="1" t="str">
        <f>IFERROR(INDEX(Players!$G$4:$G$503,MATCH(133,Players!$K$4:$K$503,0)),"")</f>
        <v/>
      </c>
      <c r="F136" s="7" t="str">
        <f>IFERROR(INDEX(Players!$H$4:$H$503,MATCH(133,Players!$K$4:$K$503,0)),"")</f>
        <v/>
      </c>
      <c r="G136" s="1" t="str">
        <f>IFERROR(INDEX(Players!$I$4:$I$503,MATCH(133,Players!$K$4:$K$503,0)),"")</f>
        <v/>
      </c>
    </row>
    <row r="137" spans="1:7">
      <c r="A137" s="1" t="str">
        <f>IFERROR(INDEX(Players!$B$4:$B$503,MATCH(134,Players!$K$4:$K$503,0)),"")</f>
        <v/>
      </c>
      <c r="B137" s="1" t="str">
        <f>IFERROR(INDEX(Players!$C$4:$C$503,MATCH(134,Players!$K$4:$K$503,0)),"")</f>
        <v/>
      </c>
      <c r="C137" s="1" t="str">
        <f>IFERROR(INDEX(Players!$D$4:$D$503,MATCH(134,Players!$K$4:$K$503,0)),"")</f>
        <v/>
      </c>
      <c r="D137" s="7" t="str">
        <f>IFERROR(INDEX(Players!$E$4:$E$503,MATCH(134,Players!$K$4:$K$503,0)),"")</f>
        <v/>
      </c>
      <c r="E137" s="1" t="str">
        <f>IFERROR(INDEX(Players!$G$4:$G$503,MATCH(134,Players!$K$4:$K$503,0)),"")</f>
        <v/>
      </c>
      <c r="F137" s="7" t="str">
        <f>IFERROR(INDEX(Players!$H$4:$H$503,MATCH(134,Players!$K$4:$K$503,0)),"")</f>
        <v/>
      </c>
      <c r="G137" s="1" t="str">
        <f>IFERROR(INDEX(Players!$I$4:$I$503,MATCH(134,Players!$K$4:$K$503,0)),"")</f>
        <v/>
      </c>
    </row>
    <row r="138" spans="1:7">
      <c r="A138" s="1" t="str">
        <f>IFERROR(INDEX(Players!$B$4:$B$503,MATCH(135,Players!$K$4:$K$503,0)),"")</f>
        <v/>
      </c>
      <c r="B138" s="1" t="str">
        <f>IFERROR(INDEX(Players!$C$4:$C$503,MATCH(135,Players!$K$4:$K$503,0)),"")</f>
        <v/>
      </c>
      <c r="C138" s="1" t="str">
        <f>IFERROR(INDEX(Players!$D$4:$D$503,MATCH(135,Players!$K$4:$K$503,0)),"")</f>
        <v/>
      </c>
      <c r="D138" s="7" t="str">
        <f>IFERROR(INDEX(Players!$E$4:$E$503,MATCH(135,Players!$K$4:$K$503,0)),"")</f>
        <v/>
      </c>
      <c r="E138" s="1" t="str">
        <f>IFERROR(INDEX(Players!$G$4:$G$503,MATCH(135,Players!$K$4:$K$503,0)),"")</f>
        <v/>
      </c>
      <c r="F138" s="7" t="str">
        <f>IFERROR(INDEX(Players!$H$4:$H$503,MATCH(135,Players!$K$4:$K$503,0)),"")</f>
        <v/>
      </c>
      <c r="G138" s="1" t="str">
        <f>IFERROR(INDEX(Players!$I$4:$I$503,MATCH(135,Players!$K$4:$K$503,0)),"")</f>
        <v/>
      </c>
    </row>
    <row r="139" spans="1:7">
      <c r="A139" s="1" t="str">
        <f>IFERROR(INDEX(Players!$B$4:$B$503,MATCH(136,Players!$K$4:$K$503,0)),"")</f>
        <v/>
      </c>
      <c r="B139" s="1" t="str">
        <f>IFERROR(INDEX(Players!$C$4:$C$503,MATCH(136,Players!$K$4:$K$503,0)),"")</f>
        <v/>
      </c>
      <c r="C139" s="1" t="str">
        <f>IFERROR(INDEX(Players!$D$4:$D$503,MATCH(136,Players!$K$4:$K$503,0)),"")</f>
        <v/>
      </c>
      <c r="D139" s="7" t="str">
        <f>IFERROR(INDEX(Players!$E$4:$E$503,MATCH(136,Players!$K$4:$K$503,0)),"")</f>
        <v/>
      </c>
      <c r="E139" s="1" t="str">
        <f>IFERROR(INDEX(Players!$G$4:$G$503,MATCH(136,Players!$K$4:$K$503,0)),"")</f>
        <v/>
      </c>
      <c r="F139" s="7" t="str">
        <f>IFERROR(INDEX(Players!$H$4:$H$503,MATCH(136,Players!$K$4:$K$503,0)),"")</f>
        <v/>
      </c>
      <c r="G139" s="1" t="str">
        <f>IFERROR(INDEX(Players!$I$4:$I$503,MATCH(136,Players!$K$4:$K$503,0)),"")</f>
        <v/>
      </c>
    </row>
    <row r="140" spans="1:7">
      <c r="A140" s="1" t="str">
        <f>IFERROR(INDEX(Players!$B$4:$B$503,MATCH(137,Players!$K$4:$K$503,0)),"")</f>
        <v/>
      </c>
      <c r="B140" s="1" t="str">
        <f>IFERROR(INDEX(Players!$C$4:$C$503,MATCH(137,Players!$K$4:$K$503,0)),"")</f>
        <v/>
      </c>
      <c r="C140" s="1" t="str">
        <f>IFERROR(INDEX(Players!$D$4:$D$503,MATCH(137,Players!$K$4:$K$503,0)),"")</f>
        <v/>
      </c>
      <c r="D140" s="7" t="str">
        <f>IFERROR(INDEX(Players!$E$4:$E$503,MATCH(137,Players!$K$4:$K$503,0)),"")</f>
        <v/>
      </c>
      <c r="E140" s="1" t="str">
        <f>IFERROR(INDEX(Players!$G$4:$G$503,MATCH(137,Players!$K$4:$K$503,0)),"")</f>
        <v/>
      </c>
      <c r="F140" s="7" t="str">
        <f>IFERROR(INDEX(Players!$H$4:$H$503,MATCH(137,Players!$K$4:$K$503,0)),"")</f>
        <v/>
      </c>
      <c r="G140" s="1" t="str">
        <f>IFERROR(INDEX(Players!$I$4:$I$503,MATCH(137,Players!$K$4:$K$503,0)),"")</f>
        <v/>
      </c>
    </row>
    <row r="141" spans="1:7">
      <c r="A141" s="1" t="str">
        <f>IFERROR(INDEX(Players!$B$4:$B$503,MATCH(138,Players!$K$4:$K$503,0)),"")</f>
        <v/>
      </c>
      <c r="B141" s="1" t="str">
        <f>IFERROR(INDEX(Players!$C$4:$C$503,MATCH(138,Players!$K$4:$K$503,0)),"")</f>
        <v/>
      </c>
      <c r="C141" s="1" t="str">
        <f>IFERROR(INDEX(Players!$D$4:$D$503,MATCH(138,Players!$K$4:$K$503,0)),"")</f>
        <v/>
      </c>
      <c r="D141" s="7" t="str">
        <f>IFERROR(INDEX(Players!$E$4:$E$503,MATCH(138,Players!$K$4:$K$503,0)),"")</f>
        <v/>
      </c>
      <c r="E141" s="1" t="str">
        <f>IFERROR(INDEX(Players!$G$4:$G$503,MATCH(138,Players!$K$4:$K$503,0)),"")</f>
        <v/>
      </c>
      <c r="F141" s="7" t="str">
        <f>IFERROR(INDEX(Players!$H$4:$H$503,MATCH(138,Players!$K$4:$K$503,0)),"")</f>
        <v/>
      </c>
      <c r="G141" s="1" t="str">
        <f>IFERROR(INDEX(Players!$I$4:$I$503,MATCH(138,Players!$K$4:$K$503,0)),"")</f>
        <v/>
      </c>
    </row>
    <row r="142" spans="1:7">
      <c r="A142" s="1" t="str">
        <f>IFERROR(INDEX(Players!$B$4:$B$503,MATCH(139,Players!$K$4:$K$503,0)),"")</f>
        <v/>
      </c>
      <c r="B142" s="1" t="str">
        <f>IFERROR(INDEX(Players!$C$4:$C$503,MATCH(139,Players!$K$4:$K$503,0)),"")</f>
        <v/>
      </c>
      <c r="C142" s="1" t="str">
        <f>IFERROR(INDEX(Players!$D$4:$D$503,MATCH(139,Players!$K$4:$K$503,0)),"")</f>
        <v/>
      </c>
      <c r="D142" s="7" t="str">
        <f>IFERROR(INDEX(Players!$E$4:$E$503,MATCH(139,Players!$K$4:$K$503,0)),"")</f>
        <v/>
      </c>
      <c r="E142" s="1" t="str">
        <f>IFERROR(INDEX(Players!$G$4:$G$503,MATCH(139,Players!$K$4:$K$503,0)),"")</f>
        <v/>
      </c>
      <c r="F142" s="7" t="str">
        <f>IFERROR(INDEX(Players!$H$4:$H$503,MATCH(139,Players!$K$4:$K$503,0)),"")</f>
        <v/>
      </c>
      <c r="G142" s="1" t="str">
        <f>IFERROR(INDEX(Players!$I$4:$I$503,MATCH(139,Players!$K$4:$K$503,0)),"")</f>
        <v/>
      </c>
    </row>
    <row r="143" spans="1:7">
      <c r="A143" s="1" t="str">
        <f>IFERROR(INDEX(Players!$B$4:$B$503,MATCH(140,Players!$K$4:$K$503,0)),"")</f>
        <v/>
      </c>
      <c r="B143" s="1" t="str">
        <f>IFERROR(INDEX(Players!$C$4:$C$503,MATCH(140,Players!$K$4:$K$503,0)),"")</f>
        <v/>
      </c>
      <c r="C143" s="1" t="str">
        <f>IFERROR(INDEX(Players!$D$4:$D$503,MATCH(140,Players!$K$4:$K$503,0)),"")</f>
        <v/>
      </c>
      <c r="D143" s="7" t="str">
        <f>IFERROR(INDEX(Players!$E$4:$E$503,MATCH(140,Players!$K$4:$K$503,0)),"")</f>
        <v/>
      </c>
      <c r="E143" s="1" t="str">
        <f>IFERROR(INDEX(Players!$G$4:$G$503,MATCH(140,Players!$K$4:$K$503,0)),"")</f>
        <v/>
      </c>
      <c r="F143" s="7" t="str">
        <f>IFERROR(INDEX(Players!$H$4:$H$503,MATCH(140,Players!$K$4:$K$503,0)),"")</f>
        <v/>
      </c>
      <c r="G143" s="1" t="str">
        <f>IFERROR(INDEX(Players!$I$4:$I$503,MATCH(140,Players!$K$4:$K$503,0)),"")</f>
        <v/>
      </c>
    </row>
    <row r="144" spans="1:7">
      <c r="A144" s="1" t="str">
        <f>IFERROR(INDEX(Players!$B$4:$B$503,MATCH(141,Players!$K$4:$K$503,0)),"")</f>
        <v/>
      </c>
      <c r="B144" s="1" t="str">
        <f>IFERROR(INDEX(Players!$C$4:$C$503,MATCH(141,Players!$K$4:$K$503,0)),"")</f>
        <v/>
      </c>
      <c r="C144" s="1" t="str">
        <f>IFERROR(INDEX(Players!$D$4:$D$503,MATCH(141,Players!$K$4:$K$503,0)),"")</f>
        <v/>
      </c>
      <c r="D144" s="7" t="str">
        <f>IFERROR(INDEX(Players!$E$4:$E$503,MATCH(141,Players!$K$4:$K$503,0)),"")</f>
        <v/>
      </c>
      <c r="E144" s="1" t="str">
        <f>IFERROR(INDEX(Players!$G$4:$G$503,MATCH(141,Players!$K$4:$K$503,0)),"")</f>
        <v/>
      </c>
      <c r="F144" s="7" t="str">
        <f>IFERROR(INDEX(Players!$H$4:$H$503,MATCH(141,Players!$K$4:$K$503,0)),"")</f>
        <v/>
      </c>
      <c r="G144" s="1" t="str">
        <f>IFERROR(INDEX(Players!$I$4:$I$503,MATCH(141,Players!$K$4:$K$503,0)),"")</f>
        <v/>
      </c>
    </row>
    <row r="145" spans="1:7">
      <c r="A145" s="1" t="str">
        <f>IFERROR(INDEX(Players!$B$4:$B$503,MATCH(142,Players!$K$4:$K$503,0)),"")</f>
        <v/>
      </c>
      <c r="B145" s="1" t="str">
        <f>IFERROR(INDEX(Players!$C$4:$C$503,MATCH(142,Players!$K$4:$K$503,0)),"")</f>
        <v/>
      </c>
      <c r="C145" s="1" t="str">
        <f>IFERROR(INDEX(Players!$D$4:$D$503,MATCH(142,Players!$K$4:$K$503,0)),"")</f>
        <v/>
      </c>
      <c r="D145" s="7" t="str">
        <f>IFERROR(INDEX(Players!$E$4:$E$503,MATCH(142,Players!$K$4:$K$503,0)),"")</f>
        <v/>
      </c>
      <c r="E145" s="1" t="str">
        <f>IFERROR(INDEX(Players!$G$4:$G$503,MATCH(142,Players!$K$4:$K$503,0)),"")</f>
        <v/>
      </c>
      <c r="F145" s="7" t="str">
        <f>IFERROR(INDEX(Players!$H$4:$H$503,MATCH(142,Players!$K$4:$K$503,0)),"")</f>
        <v/>
      </c>
      <c r="G145" s="1" t="str">
        <f>IFERROR(INDEX(Players!$I$4:$I$503,MATCH(142,Players!$K$4:$K$503,0)),"")</f>
        <v/>
      </c>
    </row>
    <row r="146" spans="1:7">
      <c r="A146" s="1" t="str">
        <f>IFERROR(INDEX(Players!$B$4:$B$503,MATCH(143,Players!$K$4:$K$503,0)),"")</f>
        <v/>
      </c>
      <c r="B146" s="1" t="str">
        <f>IFERROR(INDEX(Players!$C$4:$C$503,MATCH(143,Players!$K$4:$K$503,0)),"")</f>
        <v/>
      </c>
      <c r="C146" s="1" t="str">
        <f>IFERROR(INDEX(Players!$D$4:$D$503,MATCH(143,Players!$K$4:$K$503,0)),"")</f>
        <v/>
      </c>
      <c r="D146" s="7" t="str">
        <f>IFERROR(INDEX(Players!$E$4:$E$503,MATCH(143,Players!$K$4:$K$503,0)),"")</f>
        <v/>
      </c>
      <c r="E146" s="1" t="str">
        <f>IFERROR(INDEX(Players!$G$4:$G$503,MATCH(143,Players!$K$4:$K$503,0)),"")</f>
        <v/>
      </c>
      <c r="F146" s="7" t="str">
        <f>IFERROR(INDEX(Players!$H$4:$H$503,MATCH(143,Players!$K$4:$K$503,0)),"")</f>
        <v/>
      </c>
      <c r="G146" s="1" t="str">
        <f>IFERROR(INDEX(Players!$I$4:$I$503,MATCH(143,Players!$K$4:$K$503,0)),"")</f>
        <v/>
      </c>
    </row>
    <row r="147" spans="1:7">
      <c r="A147" s="1" t="str">
        <f>IFERROR(INDEX(Players!$B$4:$B$503,MATCH(144,Players!$K$4:$K$503,0)),"")</f>
        <v/>
      </c>
      <c r="B147" s="1" t="str">
        <f>IFERROR(INDEX(Players!$C$4:$C$503,MATCH(144,Players!$K$4:$K$503,0)),"")</f>
        <v/>
      </c>
      <c r="C147" s="1" t="str">
        <f>IFERROR(INDEX(Players!$D$4:$D$503,MATCH(144,Players!$K$4:$K$503,0)),"")</f>
        <v/>
      </c>
      <c r="D147" s="7" t="str">
        <f>IFERROR(INDEX(Players!$E$4:$E$503,MATCH(144,Players!$K$4:$K$503,0)),"")</f>
        <v/>
      </c>
      <c r="E147" s="1" t="str">
        <f>IFERROR(INDEX(Players!$G$4:$G$503,MATCH(144,Players!$K$4:$K$503,0)),"")</f>
        <v/>
      </c>
      <c r="F147" s="7" t="str">
        <f>IFERROR(INDEX(Players!$H$4:$H$503,MATCH(144,Players!$K$4:$K$503,0)),"")</f>
        <v/>
      </c>
      <c r="G147" s="1" t="str">
        <f>IFERROR(INDEX(Players!$I$4:$I$503,MATCH(144,Players!$K$4:$K$503,0)),"")</f>
        <v/>
      </c>
    </row>
    <row r="148" spans="1:7">
      <c r="A148" s="1" t="str">
        <f>IFERROR(INDEX(Players!$B$4:$B$503,MATCH(145,Players!$K$4:$K$503,0)),"")</f>
        <v/>
      </c>
      <c r="B148" s="1" t="str">
        <f>IFERROR(INDEX(Players!$C$4:$C$503,MATCH(145,Players!$K$4:$K$503,0)),"")</f>
        <v/>
      </c>
      <c r="C148" s="1" t="str">
        <f>IFERROR(INDEX(Players!$D$4:$D$503,MATCH(145,Players!$K$4:$K$503,0)),"")</f>
        <v/>
      </c>
      <c r="D148" s="7" t="str">
        <f>IFERROR(INDEX(Players!$E$4:$E$503,MATCH(145,Players!$K$4:$K$503,0)),"")</f>
        <v/>
      </c>
      <c r="E148" s="1" t="str">
        <f>IFERROR(INDEX(Players!$G$4:$G$503,MATCH(145,Players!$K$4:$K$503,0)),"")</f>
        <v/>
      </c>
      <c r="F148" s="7" t="str">
        <f>IFERROR(INDEX(Players!$H$4:$H$503,MATCH(145,Players!$K$4:$K$503,0)),"")</f>
        <v/>
      </c>
      <c r="G148" s="1" t="str">
        <f>IFERROR(INDEX(Players!$I$4:$I$503,MATCH(145,Players!$K$4:$K$503,0)),"")</f>
        <v/>
      </c>
    </row>
    <row r="149" spans="1:7">
      <c r="A149" s="1" t="str">
        <f>IFERROR(INDEX(Players!$B$4:$B$503,MATCH(146,Players!$K$4:$K$503,0)),"")</f>
        <v/>
      </c>
      <c r="B149" s="1" t="str">
        <f>IFERROR(INDEX(Players!$C$4:$C$503,MATCH(146,Players!$K$4:$K$503,0)),"")</f>
        <v/>
      </c>
      <c r="C149" s="1" t="str">
        <f>IFERROR(INDEX(Players!$D$4:$D$503,MATCH(146,Players!$K$4:$K$503,0)),"")</f>
        <v/>
      </c>
      <c r="D149" s="7" t="str">
        <f>IFERROR(INDEX(Players!$E$4:$E$503,MATCH(146,Players!$K$4:$K$503,0)),"")</f>
        <v/>
      </c>
      <c r="E149" s="1" t="str">
        <f>IFERROR(INDEX(Players!$G$4:$G$503,MATCH(146,Players!$K$4:$K$503,0)),"")</f>
        <v/>
      </c>
      <c r="F149" s="7" t="str">
        <f>IFERROR(INDEX(Players!$H$4:$H$503,MATCH(146,Players!$K$4:$K$503,0)),"")</f>
        <v/>
      </c>
      <c r="G149" s="1" t="str">
        <f>IFERROR(INDEX(Players!$I$4:$I$503,MATCH(146,Players!$K$4:$K$503,0)),"")</f>
        <v/>
      </c>
    </row>
    <row r="150" spans="1:7">
      <c r="A150" s="1" t="str">
        <f>IFERROR(INDEX(Players!$B$4:$B$503,MATCH(147,Players!$K$4:$K$503,0)),"")</f>
        <v/>
      </c>
      <c r="B150" s="1" t="str">
        <f>IFERROR(INDEX(Players!$C$4:$C$503,MATCH(147,Players!$K$4:$K$503,0)),"")</f>
        <v/>
      </c>
      <c r="C150" s="1" t="str">
        <f>IFERROR(INDEX(Players!$D$4:$D$503,MATCH(147,Players!$K$4:$K$503,0)),"")</f>
        <v/>
      </c>
      <c r="D150" s="7" t="str">
        <f>IFERROR(INDEX(Players!$E$4:$E$503,MATCH(147,Players!$K$4:$K$503,0)),"")</f>
        <v/>
      </c>
      <c r="E150" s="1" t="str">
        <f>IFERROR(INDEX(Players!$G$4:$G$503,MATCH(147,Players!$K$4:$K$503,0)),"")</f>
        <v/>
      </c>
      <c r="F150" s="7" t="str">
        <f>IFERROR(INDEX(Players!$H$4:$H$503,MATCH(147,Players!$K$4:$K$503,0)),"")</f>
        <v/>
      </c>
      <c r="G150" s="1" t="str">
        <f>IFERROR(INDEX(Players!$I$4:$I$503,MATCH(147,Players!$K$4:$K$503,0)),"")</f>
        <v/>
      </c>
    </row>
    <row r="151" spans="1:7">
      <c r="A151" s="1" t="str">
        <f>IFERROR(INDEX(Players!$B$4:$B$503,MATCH(148,Players!$K$4:$K$503,0)),"")</f>
        <v/>
      </c>
      <c r="B151" s="1" t="str">
        <f>IFERROR(INDEX(Players!$C$4:$C$503,MATCH(148,Players!$K$4:$K$503,0)),"")</f>
        <v/>
      </c>
      <c r="C151" s="1" t="str">
        <f>IFERROR(INDEX(Players!$D$4:$D$503,MATCH(148,Players!$K$4:$K$503,0)),"")</f>
        <v/>
      </c>
      <c r="D151" s="7" t="str">
        <f>IFERROR(INDEX(Players!$E$4:$E$503,MATCH(148,Players!$K$4:$K$503,0)),"")</f>
        <v/>
      </c>
      <c r="E151" s="1" t="str">
        <f>IFERROR(INDEX(Players!$G$4:$G$503,MATCH(148,Players!$K$4:$K$503,0)),"")</f>
        <v/>
      </c>
      <c r="F151" s="7" t="str">
        <f>IFERROR(INDEX(Players!$H$4:$H$503,MATCH(148,Players!$K$4:$K$503,0)),"")</f>
        <v/>
      </c>
      <c r="G151" s="1" t="str">
        <f>IFERROR(INDEX(Players!$I$4:$I$503,MATCH(148,Players!$K$4:$K$503,0)),"")</f>
        <v/>
      </c>
    </row>
    <row r="152" spans="1:7">
      <c r="A152" s="1" t="str">
        <f>IFERROR(INDEX(Players!$B$4:$B$503,MATCH(149,Players!$K$4:$K$503,0)),"")</f>
        <v/>
      </c>
      <c r="B152" s="1" t="str">
        <f>IFERROR(INDEX(Players!$C$4:$C$503,MATCH(149,Players!$K$4:$K$503,0)),"")</f>
        <v/>
      </c>
      <c r="C152" s="1" t="str">
        <f>IFERROR(INDEX(Players!$D$4:$D$503,MATCH(149,Players!$K$4:$K$503,0)),"")</f>
        <v/>
      </c>
      <c r="D152" s="7" t="str">
        <f>IFERROR(INDEX(Players!$E$4:$E$503,MATCH(149,Players!$K$4:$K$503,0)),"")</f>
        <v/>
      </c>
      <c r="E152" s="1" t="str">
        <f>IFERROR(INDEX(Players!$G$4:$G$503,MATCH(149,Players!$K$4:$K$503,0)),"")</f>
        <v/>
      </c>
      <c r="F152" s="7" t="str">
        <f>IFERROR(INDEX(Players!$H$4:$H$503,MATCH(149,Players!$K$4:$K$503,0)),"")</f>
        <v/>
      </c>
      <c r="G152" s="1" t="str">
        <f>IFERROR(INDEX(Players!$I$4:$I$503,MATCH(149,Players!$K$4:$K$503,0)),"")</f>
        <v/>
      </c>
    </row>
    <row r="153" spans="1:7">
      <c r="A153" s="1" t="str">
        <f>IFERROR(INDEX(Players!$B$4:$B$503,MATCH(150,Players!$K$4:$K$503,0)),"")</f>
        <v/>
      </c>
      <c r="B153" s="1" t="str">
        <f>IFERROR(INDEX(Players!$C$4:$C$503,MATCH(150,Players!$K$4:$K$503,0)),"")</f>
        <v/>
      </c>
      <c r="C153" s="1" t="str">
        <f>IFERROR(INDEX(Players!$D$4:$D$503,MATCH(150,Players!$K$4:$K$503,0)),"")</f>
        <v/>
      </c>
      <c r="D153" s="7" t="str">
        <f>IFERROR(INDEX(Players!$E$4:$E$503,MATCH(150,Players!$K$4:$K$503,0)),"")</f>
        <v/>
      </c>
      <c r="E153" s="1" t="str">
        <f>IFERROR(INDEX(Players!$G$4:$G$503,MATCH(150,Players!$K$4:$K$503,0)),"")</f>
        <v/>
      </c>
      <c r="F153" s="7" t="str">
        <f>IFERROR(INDEX(Players!$H$4:$H$503,MATCH(150,Players!$K$4:$K$503,0)),"")</f>
        <v/>
      </c>
      <c r="G153" s="1" t="str">
        <f>IFERROR(INDEX(Players!$I$4:$I$503,MATCH(150,Players!$K$4:$K$503,0)),"")</f>
        <v/>
      </c>
    </row>
    <row r="154" spans="1:7">
      <c r="A154" s="1" t="str">
        <f>IFERROR(INDEX(Players!$B$4:$B$503,MATCH(151,Players!$K$4:$K$503,0)),"")</f>
        <v/>
      </c>
      <c r="B154" s="1" t="str">
        <f>IFERROR(INDEX(Players!$C$4:$C$503,MATCH(151,Players!$K$4:$K$503,0)),"")</f>
        <v/>
      </c>
      <c r="C154" s="1" t="str">
        <f>IFERROR(INDEX(Players!$D$4:$D$503,MATCH(151,Players!$K$4:$K$503,0)),"")</f>
        <v/>
      </c>
      <c r="D154" s="7" t="str">
        <f>IFERROR(INDEX(Players!$E$4:$E$503,MATCH(151,Players!$K$4:$K$503,0)),"")</f>
        <v/>
      </c>
      <c r="E154" s="1" t="str">
        <f>IFERROR(INDEX(Players!$G$4:$G$503,MATCH(151,Players!$K$4:$K$503,0)),"")</f>
        <v/>
      </c>
      <c r="F154" s="7" t="str">
        <f>IFERROR(INDEX(Players!$H$4:$H$503,MATCH(151,Players!$K$4:$K$503,0)),"")</f>
        <v/>
      </c>
      <c r="G154" s="1" t="str">
        <f>IFERROR(INDEX(Players!$I$4:$I$503,MATCH(151,Players!$K$4:$K$503,0)),"")</f>
        <v/>
      </c>
    </row>
    <row r="155" spans="1:7">
      <c r="A155" s="1" t="str">
        <f>IFERROR(INDEX(Players!$B$4:$B$503,MATCH(152,Players!$K$4:$K$503,0)),"")</f>
        <v/>
      </c>
      <c r="B155" s="1" t="str">
        <f>IFERROR(INDEX(Players!$C$4:$C$503,MATCH(152,Players!$K$4:$K$503,0)),"")</f>
        <v/>
      </c>
      <c r="C155" s="1" t="str">
        <f>IFERROR(INDEX(Players!$D$4:$D$503,MATCH(152,Players!$K$4:$K$503,0)),"")</f>
        <v/>
      </c>
      <c r="D155" s="7" t="str">
        <f>IFERROR(INDEX(Players!$E$4:$E$503,MATCH(152,Players!$K$4:$K$503,0)),"")</f>
        <v/>
      </c>
      <c r="E155" s="1" t="str">
        <f>IFERROR(INDEX(Players!$G$4:$G$503,MATCH(152,Players!$K$4:$K$503,0)),"")</f>
        <v/>
      </c>
      <c r="F155" s="7" t="str">
        <f>IFERROR(INDEX(Players!$H$4:$H$503,MATCH(152,Players!$K$4:$K$503,0)),"")</f>
        <v/>
      </c>
      <c r="G155" s="1" t="str">
        <f>IFERROR(INDEX(Players!$I$4:$I$503,MATCH(152,Players!$K$4:$K$503,0)),"")</f>
        <v/>
      </c>
    </row>
    <row r="156" spans="1:7">
      <c r="A156" s="1" t="str">
        <f>IFERROR(INDEX(Players!$B$4:$B$503,MATCH(153,Players!$K$4:$K$503,0)),"")</f>
        <v/>
      </c>
      <c r="B156" s="1" t="str">
        <f>IFERROR(INDEX(Players!$C$4:$C$503,MATCH(153,Players!$K$4:$K$503,0)),"")</f>
        <v/>
      </c>
      <c r="C156" s="1" t="str">
        <f>IFERROR(INDEX(Players!$D$4:$D$503,MATCH(153,Players!$K$4:$K$503,0)),"")</f>
        <v/>
      </c>
      <c r="D156" s="7" t="str">
        <f>IFERROR(INDEX(Players!$E$4:$E$503,MATCH(153,Players!$K$4:$K$503,0)),"")</f>
        <v/>
      </c>
      <c r="E156" s="1" t="str">
        <f>IFERROR(INDEX(Players!$G$4:$G$503,MATCH(153,Players!$K$4:$K$503,0)),"")</f>
        <v/>
      </c>
      <c r="F156" s="7" t="str">
        <f>IFERROR(INDEX(Players!$H$4:$H$503,MATCH(153,Players!$K$4:$K$503,0)),"")</f>
        <v/>
      </c>
      <c r="G156" s="1" t="str">
        <f>IFERROR(INDEX(Players!$I$4:$I$503,MATCH(153,Players!$K$4:$K$503,0)),"")</f>
        <v/>
      </c>
    </row>
    <row r="157" spans="1:7">
      <c r="A157" s="1" t="str">
        <f>IFERROR(INDEX(Players!$B$4:$B$503,MATCH(154,Players!$K$4:$K$503,0)),"")</f>
        <v/>
      </c>
      <c r="B157" s="1" t="str">
        <f>IFERROR(INDEX(Players!$C$4:$C$503,MATCH(154,Players!$K$4:$K$503,0)),"")</f>
        <v/>
      </c>
      <c r="C157" s="1" t="str">
        <f>IFERROR(INDEX(Players!$D$4:$D$503,MATCH(154,Players!$K$4:$K$503,0)),"")</f>
        <v/>
      </c>
      <c r="D157" s="7" t="str">
        <f>IFERROR(INDEX(Players!$E$4:$E$503,MATCH(154,Players!$K$4:$K$503,0)),"")</f>
        <v/>
      </c>
      <c r="E157" s="1" t="str">
        <f>IFERROR(INDEX(Players!$G$4:$G$503,MATCH(154,Players!$K$4:$K$503,0)),"")</f>
        <v/>
      </c>
      <c r="F157" s="7" t="str">
        <f>IFERROR(INDEX(Players!$H$4:$H$503,MATCH(154,Players!$K$4:$K$503,0)),"")</f>
        <v/>
      </c>
      <c r="G157" s="1" t="str">
        <f>IFERROR(INDEX(Players!$I$4:$I$503,MATCH(154,Players!$K$4:$K$503,0)),"")</f>
        <v/>
      </c>
    </row>
    <row r="158" spans="1:7">
      <c r="A158" s="1" t="str">
        <f>IFERROR(INDEX(Players!$B$4:$B$503,MATCH(155,Players!$K$4:$K$503,0)),"")</f>
        <v/>
      </c>
      <c r="B158" s="1" t="str">
        <f>IFERROR(INDEX(Players!$C$4:$C$503,MATCH(155,Players!$K$4:$K$503,0)),"")</f>
        <v/>
      </c>
      <c r="C158" s="1" t="str">
        <f>IFERROR(INDEX(Players!$D$4:$D$503,MATCH(155,Players!$K$4:$K$503,0)),"")</f>
        <v/>
      </c>
      <c r="D158" s="7" t="str">
        <f>IFERROR(INDEX(Players!$E$4:$E$503,MATCH(155,Players!$K$4:$K$503,0)),"")</f>
        <v/>
      </c>
      <c r="E158" s="1" t="str">
        <f>IFERROR(INDEX(Players!$G$4:$G$503,MATCH(155,Players!$K$4:$K$503,0)),"")</f>
        <v/>
      </c>
      <c r="F158" s="7" t="str">
        <f>IFERROR(INDEX(Players!$H$4:$H$503,MATCH(155,Players!$K$4:$K$503,0)),"")</f>
        <v/>
      </c>
      <c r="G158" s="1" t="str">
        <f>IFERROR(INDEX(Players!$I$4:$I$503,MATCH(155,Players!$K$4:$K$503,0)),"")</f>
        <v/>
      </c>
    </row>
    <row r="159" spans="1:7">
      <c r="A159" s="1" t="str">
        <f>IFERROR(INDEX(Players!$B$4:$B$503,MATCH(156,Players!$K$4:$K$503,0)),"")</f>
        <v/>
      </c>
      <c r="B159" s="1" t="str">
        <f>IFERROR(INDEX(Players!$C$4:$C$503,MATCH(156,Players!$K$4:$K$503,0)),"")</f>
        <v/>
      </c>
      <c r="C159" s="1" t="str">
        <f>IFERROR(INDEX(Players!$D$4:$D$503,MATCH(156,Players!$K$4:$K$503,0)),"")</f>
        <v/>
      </c>
      <c r="D159" s="7" t="str">
        <f>IFERROR(INDEX(Players!$E$4:$E$503,MATCH(156,Players!$K$4:$K$503,0)),"")</f>
        <v/>
      </c>
      <c r="E159" s="1" t="str">
        <f>IFERROR(INDEX(Players!$G$4:$G$503,MATCH(156,Players!$K$4:$K$503,0)),"")</f>
        <v/>
      </c>
      <c r="F159" s="7" t="str">
        <f>IFERROR(INDEX(Players!$H$4:$H$503,MATCH(156,Players!$K$4:$K$503,0)),"")</f>
        <v/>
      </c>
      <c r="G159" s="1" t="str">
        <f>IFERROR(INDEX(Players!$I$4:$I$503,MATCH(156,Players!$K$4:$K$503,0)),"")</f>
        <v/>
      </c>
    </row>
    <row r="160" spans="1:7">
      <c r="A160" s="1" t="str">
        <f>IFERROR(INDEX(Players!$B$4:$B$503,MATCH(157,Players!$K$4:$K$503,0)),"")</f>
        <v/>
      </c>
      <c r="B160" s="1" t="str">
        <f>IFERROR(INDEX(Players!$C$4:$C$503,MATCH(157,Players!$K$4:$K$503,0)),"")</f>
        <v/>
      </c>
      <c r="C160" s="1" t="str">
        <f>IFERROR(INDEX(Players!$D$4:$D$503,MATCH(157,Players!$K$4:$K$503,0)),"")</f>
        <v/>
      </c>
      <c r="D160" s="7" t="str">
        <f>IFERROR(INDEX(Players!$E$4:$E$503,MATCH(157,Players!$K$4:$K$503,0)),"")</f>
        <v/>
      </c>
      <c r="E160" s="1" t="str">
        <f>IFERROR(INDEX(Players!$G$4:$G$503,MATCH(157,Players!$K$4:$K$503,0)),"")</f>
        <v/>
      </c>
      <c r="F160" s="7" t="str">
        <f>IFERROR(INDEX(Players!$H$4:$H$503,MATCH(157,Players!$K$4:$K$503,0)),"")</f>
        <v/>
      </c>
      <c r="G160" s="1" t="str">
        <f>IFERROR(INDEX(Players!$I$4:$I$503,MATCH(157,Players!$K$4:$K$503,0)),"")</f>
        <v/>
      </c>
    </row>
    <row r="161" spans="1:7">
      <c r="A161" s="1" t="str">
        <f>IFERROR(INDEX(Players!$B$4:$B$503,MATCH(158,Players!$K$4:$K$503,0)),"")</f>
        <v/>
      </c>
      <c r="B161" s="1" t="str">
        <f>IFERROR(INDEX(Players!$C$4:$C$503,MATCH(158,Players!$K$4:$K$503,0)),"")</f>
        <v/>
      </c>
      <c r="C161" s="1" t="str">
        <f>IFERROR(INDEX(Players!$D$4:$D$503,MATCH(158,Players!$K$4:$K$503,0)),"")</f>
        <v/>
      </c>
      <c r="D161" s="7" t="str">
        <f>IFERROR(INDEX(Players!$E$4:$E$503,MATCH(158,Players!$K$4:$K$503,0)),"")</f>
        <v/>
      </c>
      <c r="E161" s="1" t="str">
        <f>IFERROR(INDEX(Players!$G$4:$G$503,MATCH(158,Players!$K$4:$K$503,0)),"")</f>
        <v/>
      </c>
      <c r="F161" s="7" t="str">
        <f>IFERROR(INDEX(Players!$H$4:$H$503,MATCH(158,Players!$K$4:$K$503,0)),"")</f>
        <v/>
      </c>
      <c r="G161" s="1" t="str">
        <f>IFERROR(INDEX(Players!$I$4:$I$503,MATCH(158,Players!$K$4:$K$503,0)),"")</f>
        <v/>
      </c>
    </row>
    <row r="162" spans="1:7">
      <c r="A162" s="1" t="str">
        <f>IFERROR(INDEX(Players!$B$4:$B$503,MATCH(159,Players!$K$4:$K$503,0)),"")</f>
        <v/>
      </c>
      <c r="B162" s="1" t="str">
        <f>IFERROR(INDEX(Players!$C$4:$C$503,MATCH(159,Players!$K$4:$K$503,0)),"")</f>
        <v/>
      </c>
      <c r="C162" s="1" t="str">
        <f>IFERROR(INDEX(Players!$D$4:$D$503,MATCH(159,Players!$K$4:$K$503,0)),"")</f>
        <v/>
      </c>
      <c r="D162" s="7" t="str">
        <f>IFERROR(INDEX(Players!$E$4:$E$503,MATCH(159,Players!$K$4:$K$503,0)),"")</f>
        <v/>
      </c>
      <c r="E162" s="1" t="str">
        <f>IFERROR(INDEX(Players!$G$4:$G$503,MATCH(159,Players!$K$4:$K$503,0)),"")</f>
        <v/>
      </c>
      <c r="F162" s="7" t="str">
        <f>IFERROR(INDEX(Players!$H$4:$H$503,MATCH(159,Players!$K$4:$K$503,0)),"")</f>
        <v/>
      </c>
      <c r="G162" s="1" t="str">
        <f>IFERROR(INDEX(Players!$I$4:$I$503,MATCH(159,Players!$K$4:$K$503,0)),"")</f>
        <v/>
      </c>
    </row>
    <row r="163" spans="1:7">
      <c r="A163" s="1" t="str">
        <f>IFERROR(INDEX(Players!$B$4:$B$503,MATCH(160,Players!$K$4:$K$503,0)),"")</f>
        <v/>
      </c>
      <c r="B163" s="1" t="str">
        <f>IFERROR(INDEX(Players!$C$4:$C$503,MATCH(160,Players!$K$4:$K$503,0)),"")</f>
        <v/>
      </c>
      <c r="C163" s="1" t="str">
        <f>IFERROR(INDEX(Players!$D$4:$D$503,MATCH(160,Players!$K$4:$K$503,0)),"")</f>
        <v/>
      </c>
      <c r="D163" s="7" t="str">
        <f>IFERROR(INDEX(Players!$E$4:$E$503,MATCH(160,Players!$K$4:$K$503,0)),"")</f>
        <v/>
      </c>
      <c r="E163" s="1" t="str">
        <f>IFERROR(INDEX(Players!$G$4:$G$503,MATCH(160,Players!$K$4:$K$503,0)),"")</f>
        <v/>
      </c>
      <c r="F163" s="7" t="str">
        <f>IFERROR(INDEX(Players!$H$4:$H$503,MATCH(160,Players!$K$4:$K$503,0)),"")</f>
        <v/>
      </c>
      <c r="G163" s="1" t="str">
        <f>IFERROR(INDEX(Players!$I$4:$I$503,MATCH(160,Players!$K$4:$K$503,0)),"")</f>
        <v/>
      </c>
    </row>
    <row r="164" spans="1:7">
      <c r="A164" s="1" t="str">
        <f>IFERROR(INDEX(Players!$B$4:$B$503,MATCH(161,Players!$K$4:$K$503,0)),"")</f>
        <v/>
      </c>
      <c r="B164" s="1" t="str">
        <f>IFERROR(INDEX(Players!$C$4:$C$503,MATCH(161,Players!$K$4:$K$503,0)),"")</f>
        <v/>
      </c>
      <c r="C164" s="1" t="str">
        <f>IFERROR(INDEX(Players!$D$4:$D$503,MATCH(161,Players!$K$4:$K$503,0)),"")</f>
        <v/>
      </c>
      <c r="D164" s="7" t="str">
        <f>IFERROR(INDEX(Players!$E$4:$E$503,MATCH(161,Players!$K$4:$K$503,0)),"")</f>
        <v/>
      </c>
      <c r="E164" s="1" t="str">
        <f>IFERROR(INDEX(Players!$G$4:$G$503,MATCH(161,Players!$K$4:$K$503,0)),"")</f>
        <v/>
      </c>
      <c r="F164" s="7" t="str">
        <f>IFERROR(INDEX(Players!$H$4:$H$503,MATCH(161,Players!$K$4:$K$503,0)),"")</f>
        <v/>
      </c>
      <c r="G164" s="1" t="str">
        <f>IFERROR(INDEX(Players!$I$4:$I$503,MATCH(161,Players!$K$4:$K$503,0)),"")</f>
        <v/>
      </c>
    </row>
    <row r="165" spans="1:7">
      <c r="A165" s="1" t="str">
        <f>IFERROR(INDEX(Players!$B$4:$B$503,MATCH(162,Players!$K$4:$K$503,0)),"")</f>
        <v/>
      </c>
      <c r="B165" s="1" t="str">
        <f>IFERROR(INDEX(Players!$C$4:$C$503,MATCH(162,Players!$K$4:$K$503,0)),"")</f>
        <v/>
      </c>
      <c r="C165" s="1" t="str">
        <f>IFERROR(INDEX(Players!$D$4:$D$503,MATCH(162,Players!$K$4:$K$503,0)),"")</f>
        <v/>
      </c>
      <c r="D165" s="7" t="str">
        <f>IFERROR(INDEX(Players!$E$4:$E$503,MATCH(162,Players!$K$4:$K$503,0)),"")</f>
        <v/>
      </c>
      <c r="E165" s="1" t="str">
        <f>IFERROR(INDEX(Players!$G$4:$G$503,MATCH(162,Players!$K$4:$K$503,0)),"")</f>
        <v/>
      </c>
      <c r="F165" s="7" t="str">
        <f>IFERROR(INDEX(Players!$H$4:$H$503,MATCH(162,Players!$K$4:$K$503,0)),"")</f>
        <v/>
      </c>
      <c r="G165" s="1" t="str">
        <f>IFERROR(INDEX(Players!$I$4:$I$503,MATCH(162,Players!$K$4:$K$503,0)),"")</f>
        <v/>
      </c>
    </row>
    <row r="166" spans="1:7">
      <c r="A166" s="1" t="str">
        <f>IFERROR(INDEX(Players!$B$4:$B$503,MATCH(163,Players!$K$4:$K$503,0)),"")</f>
        <v/>
      </c>
      <c r="B166" s="1" t="str">
        <f>IFERROR(INDEX(Players!$C$4:$C$503,MATCH(163,Players!$K$4:$K$503,0)),"")</f>
        <v/>
      </c>
      <c r="C166" s="1" t="str">
        <f>IFERROR(INDEX(Players!$D$4:$D$503,MATCH(163,Players!$K$4:$K$503,0)),"")</f>
        <v/>
      </c>
      <c r="D166" s="7" t="str">
        <f>IFERROR(INDEX(Players!$E$4:$E$503,MATCH(163,Players!$K$4:$K$503,0)),"")</f>
        <v/>
      </c>
      <c r="E166" s="1" t="str">
        <f>IFERROR(INDEX(Players!$G$4:$G$503,MATCH(163,Players!$K$4:$K$503,0)),"")</f>
        <v/>
      </c>
      <c r="F166" s="7" t="str">
        <f>IFERROR(INDEX(Players!$H$4:$H$503,MATCH(163,Players!$K$4:$K$503,0)),"")</f>
        <v/>
      </c>
      <c r="G166" s="1" t="str">
        <f>IFERROR(INDEX(Players!$I$4:$I$503,MATCH(163,Players!$K$4:$K$503,0)),"")</f>
        <v/>
      </c>
    </row>
    <row r="167" spans="1:7">
      <c r="A167" s="1" t="str">
        <f>IFERROR(INDEX(Players!$B$4:$B$503,MATCH(164,Players!$K$4:$K$503,0)),"")</f>
        <v/>
      </c>
      <c r="B167" s="1" t="str">
        <f>IFERROR(INDEX(Players!$C$4:$C$503,MATCH(164,Players!$K$4:$K$503,0)),"")</f>
        <v/>
      </c>
      <c r="C167" s="1" t="str">
        <f>IFERROR(INDEX(Players!$D$4:$D$503,MATCH(164,Players!$K$4:$K$503,0)),"")</f>
        <v/>
      </c>
      <c r="D167" s="7" t="str">
        <f>IFERROR(INDEX(Players!$E$4:$E$503,MATCH(164,Players!$K$4:$K$503,0)),"")</f>
        <v/>
      </c>
      <c r="E167" s="1" t="str">
        <f>IFERROR(INDEX(Players!$G$4:$G$503,MATCH(164,Players!$K$4:$K$503,0)),"")</f>
        <v/>
      </c>
      <c r="F167" s="7" t="str">
        <f>IFERROR(INDEX(Players!$H$4:$H$503,MATCH(164,Players!$K$4:$K$503,0)),"")</f>
        <v/>
      </c>
      <c r="G167" s="1" t="str">
        <f>IFERROR(INDEX(Players!$I$4:$I$503,MATCH(164,Players!$K$4:$K$503,0)),"")</f>
        <v/>
      </c>
    </row>
    <row r="168" spans="1:7">
      <c r="A168" s="1" t="str">
        <f>IFERROR(INDEX(Players!$B$4:$B$503,MATCH(165,Players!$K$4:$K$503,0)),"")</f>
        <v/>
      </c>
      <c r="B168" s="1" t="str">
        <f>IFERROR(INDEX(Players!$C$4:$C$503,MATCH(165,Players!$K$4:$K$503,0)),"")</f>
        <v/>
      </c>
      <c r="C168" s="1" t="str">
        <f>IFERROR(INDEX(Players!$D$4:$D$503,MATCH(165,Players!$K$4:$K$503,0)),"")</f>
        <v/>
      </c>
      <c r="D168" s="7" t="str">
        <f>IFERROR(INDEX(Players!$E$4:$E$503,MATCH(165,Players!$K$4:$K$503,0)),"")</f>
        <v/>
      </c>
      <c r="E168" s="1" t="str">
        <f>IFERROR(INDEX(Players!$G$4:$G$503,MATCH(165,Players!$K$4:$K$503,0)),"")</f>
        <v/>
      </c>
      <c r="F168" s="7" t="str">
        <f>IFERROR(INDEX(Players!$H$4:$H$503,MATCH(165,Players!$K$4:$K$503,0)),"")</f>
        <v/>
      </c>
      <c r="G168" s="1" t="str">
        <f>IFERROR(INDEX(Players!$I$4:$I$503,MATCH(165,Players!$K$4:$K$503,0)),"")</f>
        <v/>
      </c>
    </row>
    <row r="169" spans="1:7">
      <c r="A169" s="1" t="str">
        <f>IFERROR(INDEX(Players!$B$4:$B$503,MATCH(166,Players!$K$4:$K$503,0)),"")</f>
        <v/>
      </c>
      <c r="B169" s="1" t="str">
        <f>IFERROR(INDEX(Players!$C$4:$C$503,MATCH(166,Players!$K$4:$K$503,0)),"")</f>
        <v/>
      </c>
      <c r="C169" s="1" t="str">
        <f>IFERROR(INDEX(Players!$D$4:$D$503,MATCH(166,Players!$K$4:$K$503,0)),"")</f>
        <v/>
      </c>
      <c r="D169" s="7" t="str">
        <f>IFERROR(INDEX(Players!$E$4:$E$503,MATCH(166,Players!$K$4:$K$503,0)),"")</f>
        <v/>
      </c>
      <c r="E169" s="1" t="str">
        <f>IFERROR(INDEX(Players!$G$4:$G$503,MATCH(166,Players!$K$4:$K$503,0)),"")</f>
        <v/>
      </c>
      <c r="F169" s="7" t="str">
        <f>IFERROR(INDEX(Players!$H$4:$H$503,MATCH(166,Players!$K$4:$K$503,0)),"")</f>
        <v/>
      </c>
      <c r="G169" s="1" t="str">
        <f>IFERROR(INDEX(Players!$I$4:$I$503,MATCH(166,Players!$K$4:$K$503,0)),"")</f>
        <v/>
      </c>
    </row>
    <row r="170" spans="1:7">
      <c r="A170" s="1" t="str">
        <f>IFERROR(INDEX(Players!$B$4:$B$503,MATCH(167,Players!$K$4:$K$503,0)),"")</f>
        <v/>
      </c>
      <c r="B170" s="1" t="str">
        <f>IFERROR(INDEX(Players!$C$4:$C$503,MATCH(167,Players!$K$4:$K$503,0)),"")</f>
        <v/>
      </c>
      <c r="C170" s="1" t="str">
        <f>IFERROR(INDEX(Players!$D$4:$D$503,MATCH(167,Players!$K$4:$K$503,0)),"")</f>
        <v/>
      </c>
      <c r="D170" s="7" t="str">
        <f>IFERROR(INDEX(Players!$E$4:$E$503,MATCH(167,Players!$K$4:$K$503,0)),"")</f>
        <v/>
      </c>
      <c r="E170" s="1" t="str">
        <f>IFERROR(INDEX(Players!$G$4:$G$503,MATCH(167,Players!$K$4:$K$503,0)),"")</f>
        <v/>
      </c>
      <c r="F170" s="7" t="str">
        <f>IFERROR(INDEX(Players!$H$4:$H$503,MATCH(167,Players!$K$4:$K$503,0)),"")</f>
        <v/>
      </c>
      <c r="G170" s="1" t="str">
        <f>IFERROR(INDEX(Players!$I$4:$I$503,MATCH(167,Players!$K$4:$K$503,0)),"")</f>
        <v/>
      </c>
    </row>
    <row r="171" spans="1:7">
      <c r="A171" s="1" t="str">
        <f>IFERROR(INDEX(Players!$B$4:$B$503,MATCH(168,Players!$K$4:$K$503,0)),"")</f>
        <v/>
      </c>
      <c r="B171" s="1" t="str">
        <f>IFERROR(INDEX(Players!$C$4:$C$503,MATCH(168,Players!$K$4:$K$503,0)),"")</f>
        <v/>
      </c>
      <c r="C171" s="1" t="str">
        <f>IFERROR(INDEX(Players!$D$4:$D$503,MATCH(168,Players!$K$4:$K$503,0)),"")</f>
        <v/>
      </c>
      <c r="D171" s="7" t="str">
        <f>IFERROR(INDEX(Players!$E$4:$E$503,MATCH(168,Players!$K$4:$K$503,0)),"")</f>
        <v/>
      </c>
      <c r="E171" s="1" t="str">
        <f>IFERROR(INDEX(Players!$G$4:$G$503,MATCH(168,Players!$K$4:$K$503,0)),"")</f>
        <v/>
      </c>
      <c r="F171" s="7" t="str">
        <f>IFERROR(INDEX(Players!$H$4:$H$503,MATCH(168,Players!$K$4:$K$503,0)),"")</f>
        <v/>
      </c>
      <c r="G171" s="1" t="str">
        <f>IFERROR(INDEX(Players!$I$4:$I$503,MATCH(168,Players!$K$4:$K$503,0)),"")</f>
        <v/>
      </c>
    </row>
    <row r="172" spans="1:7">
      <c r="A172" s="1" t="str">
        <f>IFERROR(INDEX(Players!$B$4:$B$503,MATCH(169,Players!$K$4:$K$503,0)),"")</f>
        <v/>
      </c>
      <c r="B172" s="1" t="str">
        <f>IFERROR(INDEX(Players!$C$4:$C$503,MATCH(169,Players!$K$4:$K$503,0)),"")</f>
        <v/>
      </c>
      <c r="C172" s="1" t="str">
        <f>IFERROR(INDEX(Players!$D$4:$D$503,MATCH(169,Players!$K$4:$K$503,0)),"")</f>
        <v/>
      </c>
      <c r="D172" s="7" t="str">
        <f>IFERROR(INDEX(Players!$E$4:$E$503,MATCH(169,Players!$K$4:$K$503,0)),"")</f>
        <v/>
      </c>
      <c r="E172" s="1" t="str">
        <f>IFERROR(INDEX(Players!$G$4:$G$503,MATCH(169,Players!$K$4:$K$503,0)),"")</f>
        <v/>
      </c>
      <c r="F172" s="7" t="str">
        <f>IFERROR(INDEX(Players!$H$4:$H$503,MATCH(169,Players!$K$4:$K$503,0)),"")</f>
        <v/>
      </c>
      <c r="G172" s="1" t="str">
        <f>IFERROR(INDEX(Players!$I$4:$I$503,MATCH(169,Players!$K$4:$K$503,0)),"")</f>
        <v/>
      </c>
    </row>
    <row r="173" spans="1:7">
      <c r="A173" s="1" t="str">
        <f>IFERROR(INDEX(Players!$B$4:$B$503,MATCH(170,Players!$K$4:$K$503,0)),"")</f>
        <v/>
      </c>
      <c r="B173" s="1" t="str">
        <f>IFERROR(INDEX(Players!$C$4:$C$503,MATCH(170,Players!$K$4:$K$503,0)),"")</f>
        <v/>
      </c>
      <c r="C173" s="1" t="str">
        <f>IFERROR(INDEX(Players!$D$4:$D$503,MATCH(170,Players!$K$4:$K$503,0)),"")</f>
        <v/>
      </c>
      <c r="D173" s="7" t="str">
        <f>IFERROR(INDEX(Players!$E$4:$E$503,MATCH(170,Players!$K$4:$K$503,0)),"")</f>
        <v/>
      </c>
      <c r="E173" s="1" t="str">
        <f>IFERROR(INDEX(Players!$G$4:$G$503,MATCH(170,Players!$K$4:$K$503,0)),"")</f>
        <v/>
      </c>
      <c r="F173" s="7" t="str">
        <f>IFERROR(INDEX(Players!$H$4:$H$503,MATCH(170,Players!$K$4:$K$503,0)),"")</f>
        <v/>
      </c>
      <c r="G173" s="1" t="str">
        <f>IFERROR(INDEX(Players!$I$4:$I$503,MATCH(170,Players!$K$4:$K$503,0)),"")</f>
        <v/>
      </c>
    </row>
    <row r="174" spans="1:7">
      <c r="A174" s="1" t="str">
        <f>IFERROR(INDEX(Players!$B$4:$B$503,MATCH(171,Players!$K$4:$K$503,0)),"")</f>
        <v/>
      </c>
      <c r="B174" s="1" t="str">
        <f>IFERROR(INDEX(Players!$C$4:$C$503,MATCH(171,Players!$K$4:$K$503,0)),"")</f>
        <v/>
      </c>
      <c r="C174" s="1" t="str">
        <f>IFERROR(INDEX(Players!$D$4:$D$503,MATCH(171,Players!$K$4:$K$503,0)),"")</f>
        <v/>
      </c>
      <c r="D174" s="7" t="str">
        <f>IFERROR(INDEX(Players!$E$4:$E$503,MATCH(171,Players!$K$4:$K$503,0)),"")</f>
        <v/>
      </c>
      <c r="E174" s="1" t="str">
        <f>IFERROR(INDEX(Players!$G$4:$G$503,MATCH(171,Players!$K$4:$K$503,0)),"")</f>
        <v/>
      </c>
      <c r="F174" s="7" t="str">
        <f>IFERROR(INDEX(Players!$H$4:$H$503,MATCH(171,Players!$K$4:$K$503,0)),"")</f>
        <v/>
      </c>
      <c r="G174" s="1" t="str">
        <f>IFERROR(INDEX(Players!$I$4:$I$503,MATCH(171,Players!$K$4:$K$503,0)),"")</f>
        <v/>
      </c>
    </row>
    <row r="175" spans="1:7">
      <c r="A175" s="1" t="str">
        <f>IFERROR(INDEX(Players!$B$4:$B$503,MATCH(172,Players!$K$4:$K$503,0)),"")</f>
        <v/>
      </c>
      <c r="B175" s="1" t="str">
        <f>IFERROR(INDEX(Players!$C$4:$C$503,MATCH(172,Players!$K$4:$K$503,0)),"")</f>
        <v/>
      </c>
      <c r="C175" s="1" t="str">
        <f>IFERROR(INDEX(Players!$D$4:$D$503,MATCH(172,Players!$K$4:$K$503,0)),"")</f>
        <v/>
      </c>
      <c r="D175" s="7" t="str">
        <f>IFERROR(INDEX(Players!$E$4:$E$503,MATCH(172,Players!$K$4:$K$503,0)),"")</f>
        <v/>
      </c>
      <c r="E175" s="1" t="str">
        <f>IFERROR(INDEX(Players!$G$4:$G$503,MATCH(172,Players!$K$4:$K$503,0)),"")</f>
        <v/>
      </c>
      <c r="F175" s="7" t="str">
        <f>IFERROR(INDEX(Players!$H$4:$H$503,MATCH(172,Players!$K$4:$K$503,0)),"")</f>
        <v/>
      </c>
      <c r="G175" s="1" t="str">
        <f>IFERROR(INDEX(Players!$I$4:$I$503,MATCH(172,Players!$K$4:$K$503,0)),"")</f>
        <v/>
      </c>
    </row>
    <row r="176" spans="1:7">
      <c r="A176" s="1" t="str">
        <f>IFERROR(INDEX(Players!$B$4:$B$503,MATCH(173,Players!$K$4:$K$503,0)),"")</f>
        <v/>
      </c>
      <c r="B176" s="1" t="str">
        <f>IFERROR(INDEX(Players!$C$4:$C$503,MATCH(173,Players!$K$4:$K$503,0)),"")</f>
        <v/>
      </c>
      <c r="C176" s="1" t="str">
        <f>IFERROR(INDEX(Players!$D$4:$D$503,MATCH(173,Players!$K$4:$K$503,0)),"")</f>
        <v/>
      </c>
      <c r="D176" s="7" t="str">
        <f>IFERROR(INDEX(Players!$E$4:$E$503,MATCH(173,Players!$K$4:$K$503,0)),"")</f>
        <v/>
      </c>
      <c r="E176" s="1" t="str">
        <f>IFERROR(INDEX(Players!$G$4:$G$503,MATCH(173,Players!$K$4:$K$503,0)),"")</f>
        <v/>
      </c>
      <c r="F176" s="7" t="str">
        <f>IFERROR(INDEX(Players!$H$4:$H$503,MATCH(173,Players!$K$4:$K$503,0)),"")</f>
        <v/>
      </c>
      <c r="G176" s="1" t="str">
        <f>IFERROR(INDEX(Players!$I$4:$I$503,MATCH(173,Players!$K$4:$K$503,0)),"")</f>
        <v/>
      </c>
    </row>
    <row r="177" spans="1:7">
      <c r="A177" s="1" t="str">
        <f>IFERROR(INDEX(Players!$B$4:$B$503,MATCH(174,Players!$K$4:$K$503,0)),"")</f>
        <v/>
      </c>
      <c r="B177" s="1" t="str">
        <f>IFERROR(INDEX(Players!$C$4:$C$503,MATCH(174,Players!$K$4:$K$503,0)),"")</f>
        <v/>
      </c>
      <c r="C177" s="1" t="str">
        <f>IFERROR(INDEX(Players!$D$4:$D$503,MATCH(174,Players!$K$4:$K$503,0)),"")</f>
        <v/>
      </c>
      <c r="D177" s="7" t="str">
        <f>IFERROR(INDEX(Players!$E$4:$E$503,MATCH(174,Players!$K$4:$K$503,0)),"")</f>
        <v/>
      </c>
      <c r="E177" s="1" t="str">
        <f>IFERROR(INDEX(Players!$G$4:$G$503,MATCH(174,Players!$K$4:$K$503,0)),"")</f>
        <v/>
      </c>
      <c r="F177" s="7" t="str">
        <f>IFERROR(INDEX(Players!$H$4:$H$503,MATCH(174,Players!$K$4:$K$503,0)),"")</f>
        <v/>
      </c>
      <c r="G177" s="1" t="str">
        <f>IFERROR(INDEX(Players!$I$4:$I$503,MATCH(174,Players!$K$4:$K$503,0)),"")</f>
        <v/>
      </c>
    </row>
    <row r="178" spans="1:7">
      <c r="A178" s="1" t="str">
        <f>IFERROR(INDEX(Players!$B$4:$B$503,MATCH(175,Players!$K$4:$K$503,0)),"")</f>
        <v/>
      </c>
      <c r="B178" s="1" t="str">
        <f>IFERROR(INDEX(Players!$C$4:$C$503,MATCH(175,Players!$K$4:$K$503,0)),"")</f>
        <v/>
      </c>
      <c r="C178" s="1" t="str">
        <f>IFERROR(INDEX(Players!$D$4:$D$503,MATCH(175,Players!$K$4:$K$503,0)),"")</f>
        <v/>
      </c>
      <c r="D178" s="7" t="str">
        <f>IFERROR(INDEX(Players!$E$4:$E$503,MATCH(175,Players!$K$4:$K$503,0)),"")</f>
        <v/>
      </c>
      <c r="E178" s="1" t="str">
        <f>IFERROR(INDEX(Players!$G$4:$G$503,MATCH(175,Players!$K$4:$K$503,0)),"")</f>
        <v/>
      </c>
      <c r="F178" s="7" t="str">
        <f>IFERROR(INDEX(Players!$H$4:$H$503,MATCH(175,Players!$K$4:$K$503,0)),"")</f>
        <v/>
      </c>
      <c r="G178" s="1" t="str">
        <f>IFERROR(INDEX(Players!$I$4:$I$503,MATCH(175,Players!$K$4:$K$503,0)),"")</f>
        <v/>
      </c>
    </row>
    <row r="179" spans="1:7">
      <c r="A179" s="1" t="str">
        <f>IFERROR(INDEX(Players!$B$4:$B$503,MATCH(176,Players!$K$4:$K$503,0)),"")</f>
        <v/>
      </c>
      <c r="B179" s="1" t="str">
        <f>IFERROR(INDEX(Players!$C$4:$C$503,MATCH(176,Players!$K$4:$K$503,0)),"")</f>
        <v/>
      </c>
      <c r="C179" s="1" t="str">
        <f>IFERROR(INDEX(Players!$D$4:$D$503,MATCH(176,Players!$K$4:$K$503,0)),"")</f>
        <v/>
      </c>
      <c r="D179" s="7" t="str">
        <f>IFERROR(INDEX(Players!$E$4:$E$503,MATCH(176,Players!$K$4:$K$503,0)),"")</f>
        <v/>
      </c>
      <c r="E179" s="1" t="str">
        <f>IFERROR(INDEX(Players!$G$4:$G$503,MATCH(176,Players!$K$4:$K$503,0)),"")</f>
        <v/>
      </c>
      <c r="F179" s="7" t="str">
        <f>IFERROR(INDEX(Players!$H$4:$H$503,MATCH(176,Players!$K$4:$K$503,0)),"")</f>
        <v/>
      </c>
      <c r="G179" s="1" t="str">
        <f>IFERROR(INDEX(Players!$I$4:$I$503,MATCH(176,Players!$K$4:$K$503,0)),"")</f>
        <v/>
      </c>
    </row>
    <row r="180" spans="1:7">
      <c r="A180" s="1" t="str">
        <f>IFERROR(INDEX(Players!$B$4:$B$503,MATCH(177,Players!$K$4:$K$503,0)),"")</f>
        <v/>
      </c>
      <c r="B180" s="1" t="str">
        <f>IFERROR(INDEX(Players!$C$4:$C$503,MATCH(177,Players!$K$4:$K$503,0)),"")</f>
        <v/>
      </c>
      <c r="C180" s="1" t="str">
        <f>IFERROR(INDEX(Players!$D$4:$D$503,MATCH(177,Players!$K$4:$K$503,0)),"")</f>
        <v/>
      </c>
      <c r="D180" s="7" t="str">
        <f>IFERROR(INDEX(Players!$E$4:$E$503,MATCH(177,Players!$K$4:$K$503,0)),"")</f>
        <v/>
      </c>
      <c r="E180" s="1" t="str">
        <f>IFERROR(INDEX(Players!$G$4:$G$503,MATCH(177,Players!$K$4:$K$503,0)),"")</f>
        <v/>
      </c>
      <c r="F180" s="7" t="str">
        <f>IFERROR(INDEX(Players!$H$4:$H$503,MATCH(177,Players!$K$4:$K$503,0)),"")</f>
        <v/>
      </c>
      <c r="G180" s="1" t="str">
        <f>IFERROR(INDEX(Players!$I$4:$I$503,MATCH(177,Players!$K$4:$K$503,0)),"")</f>
        <v/>
      </c>
    </row>
    <row r="181" spans="1:7">
      <c r="A181" s="1" t="str">
        <f>IFERROR(INDEX(Players!$B$4:$B$503,MATCH(178,Players!$K$4:$K$503,0)),"")</f>
        <v/>
      </c>
      <c r="B181" s="1" t="str">
        <f>IFERROR(INDEX(Players!$C$4:$C$503,MATCH(178,Players!$K$4:$K$503,0)),"")</f>
        <v/>
      </c>
      <c r="C181" s="1" t="str">
        <f>IFERROR(INDEX(Players!$D$4:$D$503,MATCH(178,Players!$K$4:$K$503,0)),"")</f>
        <v/>
      </c>
      <c r="D181" s="7" t="str">
        <f>IFERROR(INDEX(Players!$E$4:$E$503,MATCH(178,Players!$K$4:$K$503,0)),"")</f>
        <v/>
      </c>
      <c r="E181" s="1" t="str">
        <f>IFERROR(INDEX(Players!$G$4:$G$503,MATCH(178,Players!$K$4:$K$503,0)),"")</f>
        <v/>
      </c>
      <c r="F181" s="7" t="str">
        <f>IFERROR(INDEX(Players!$H$4:$H$503,MATCH(178,Players!$K$4:$K$503,0)),"")</f>
        <v/>
      </c>
      <c r="G181" s="1" t="str">
        <f>IFERROR(INDEX(Players!$I$4:$I$503,MATCH(178,Players!$K$4:$K$503,0)),"")</f>
        <v/>
      </c>
    </row>
    <row r="182" spans="1:7">
      <c r="A182" s="1" t="str">
        <f>IFERROR(INDEX(Players!$B$4:$B$503,MATCH(179,Players!$K$4:$K$503,0)),"")</f>
        <v/>
      </c>
      <c r="B182" s="1" t="str">
        <f>IFERROR(INDEX(Players!$C$4:$C$503,MATCH(179,Players!$K$4:$K$503,0)),"")</f>
        <v/>
      </c>
      <c r="C182" s="1" t="str">
        <f>IFERROR(INDEX(Players!$D$4:$D$503,MATCH(179,Players!$K$4:$K$503,0)),"")</f>
        <v/>
      </c>
      <c r="D182" s="7" t="str">
        <f>IFERROR(INDEX(Players!$E$4:$E$503,MATCH(179,Players!$K$4:$K$503,0)),"")</f>
        <v/>
      </c>
      <c r="E182" s="1" t="str">
        <f>IFERROR(INDEX(Players!$G$4:$G$503,MATCH(179,Players!$K$4:$K$503,0)),"")</f>
        <v/>
      </c>
      <c r="F182" s="7" t="str">
        <f>IFERROR(INDEX(Players!$H$4:$H$503,MATCH(179,Players!$K$4:$K$503,0)),"")</f>
        <v/>
      </c>
      <c r="G182" s="1" t="str">
        <f>IFERROR(INDEX(Players!$I$4:$I$503,MATCH(179,Players!$K$4:$K$503,0)),"")</f>
        <v/>
      </c>
    </row>
    <row r="183" spans="1:7">
      <c r="A183" s="1" t="str">
        <f>IFERROR(INDEX(Players!$B$4:$B$503,MATCH(180,Players!$K$4:$K$503,0)),"")</f>
        <v/>
      </c>
      <c r="B183" s="1" t="str">
        <f>IFERROR(INDEX(Players!$C$4:$C$503,MATCH(180,Players!$K$4:$K$503,0)),"")</f>
        <v/>
      </c>
      <c r="C183" s="1" t="str">
        <f>IFERROR(INDEX(Players!$D$4:$D$503,MATCH(180,Players!$K$4:$K$503,0)),"")</f>
        <v/>
      </c>
      <c r="D183" s="7" t="str">
        <f>IFERROR(INDEX(Players!$E$4:$E$503,MATCH(180,Players!$K$4:$K$503,0)),"")</f>
        <v/>
      </c>
      <c r="E183" s="1" t="str">
        <f>IFERROR(INDEX(Players!$G$4:$G$503,MATCH(180,Players!$K$4:$K$503,0)),"")</f>
        <v/>
      </c>
      <c r="F183" s="7" t="str">
        <f>IFERROR(INDEX(Players!$H$4:$H$503,MATCH(180,Players!$K$4:$K$503,0)),"")</f>
        <v/>
      </c>
      <c r="G183" s="1" t="str">
        <f>IFERROR(INDEX(Players!$I$4:$I$503,MATCH(180,Players!$K$4:$K$503,0)),"")</f>
        <v/>
      </c>
    </row>
    <row r="184" spans="1:7">
      <c r="A184" s="1" t="str">
        <f>IFERROR(INDEX(Players!$B$4:$B$503,MATCH(181,Players!$K$4:$K$503,0)),"")</f>
        <v/>
      </c>
      <c r="B184" s="1" t="str">
        <f>IFERROR(INDEX(Players!$C$4:$C$503,MATCH(181,Players!$K$4:$K$503,0)),"")</f>
        <v/>
      </c>
      <c r="C184" s="1" t="str">
        <f>IFERROR(INDEX(Players!$D$4:$D$503,MATCH(181,Players!$K$4:$K$503,0)),"")</f>
        <v/>
      </c>
      <c r="D184" s="7" t="str">
        <f>IFERROR(INDEX(Players!$E$4:$E$503,MATCH(181,Players!$K$4:$K$503,0)),"")</f>
        <v/>
      </c>
      <c r="E184" s="1" t="str">
        <f>IFERROR(INDEX(Players!$G$4:$G$503,MATCH(181,Players!$K$4:$K$503,0)),"")</f>
        <v/>
      </c>
      <c r="F184" s="7" t="str">
        <f>IFERROR(INDEX(Players!$H$4:$H$503,MATCH(181,Players!$K$4:$K$503,0)),"")</f>
        <v/>
      </c>
      <c r="G184" s="1" t="str">
        <f>IFERROR(INDEX(Players!$I$4:$I$503,MATCH(181,Players!$K$4:$K$503,0)),"")</f>
        <v/>
      </c>
    </row>
    <row r="185" spans="1:7">
      <c r="A185" s="1" t="str">
        <f>IFERROR(INDEX(Players!$B$4:$B$503,MATCH(182,Players!$K$4:$K$503,0)),"")</f>
        <v/>
      </c>
      <c r="B185" s="1" t="str">
        <f>IFERROR(INDEX(Players!$C$4:$C$503,MATCH(182,Players!$K$4:$K$503,0)),"")</f>
        <v/>
      </c>
      <c r="C185" s="1" t="str">
        <f>IFERROR(INDEX(Players!$D$4:$D$503,MATCH(182,Players!$K$4:$K$503,0)),"")</f>
        <v/>
      </c>
      <c r="D185" s="7" t="str">
        <f>IFERROR(INDEX(Players!$E$4:$E$503,MATCH(182,Players!$K$4:$K$503,0)),"")</f>
        <v/>
      </c>
      <c r="E185" s="1" t="str">
        <f>IFERROR(INDEX(Players!$G$4:$G$503,MATCH(182,Players!$K$4:$K$503,0)),"")</f>
        <v/>
      </c>
      <c r="F185" s="7" t="str">
        <f>IFERROR(INDEX(Players!$H$4:$H$503,MATCH(182,Players!$K$4:$K$503,0)),"")</f>
        <v/>
      </c>
      <c r="G185" s="1" t="str">
        <f>IFERROR(INDEX(Players!$I$4:$I$503,MATCH(182,Players!$K$4:$K$503,0)),"")</f>
        <v/>
      </c>
    </row>
    <row r="186" spans="1:7">
      <c r="A186" s="1" t="str">
        <f>IFERROR(INDEX(Players!$B$4:$B$503,MATCH(183,Players!$K$4:$K$503,0)),"")</f>
        <v/>
      </c>
      <c r="B186" s="1" t="str">
        <f>IFERROR(INDEX(Players!$C$4:$C$503,MATCH(183,Players!$K$4:$K$503,0)),"")</f>
        <v/>
      </c>
      <c r="C186" s="1" t="str">
        <f>IFERROR(INDEX(Players!$D$4:$D$503,MATCH(183,Players!$K$4:$K$503,0)),"")</f>
        <v/>
      </c>
      <c r="D186" s="7" t="str">
        <f>IFERROR(INDEX(Players!$E$4:$E$503,MATCH(183,Players!$K$4:$K$503,0)),"")</f>
        <v/>
      </c>
      <c r="E186" s="1" t="str">
        <f>IFERROR(INDEX(Players!$G$4:$G$503,MATCH(183,Players!$K$4:$K$503,0)),"")</f>
        <v/>
      </c>
      <c r="F186" s="7" t="str">
        <f>IFERROR(INDEX(Players!$H$4:$H$503,MATCH(183,Players!$K$4:$K$503,0)),"")</f>
        <v/>
      </c>
      <c r="G186" s="1" t="str">
        <f>IFERROR(INDEX(Players!$I$4:$I$503,MATCH(183,Players!$K$4:$K$503,0)),"")</f>
        <v/>
      </c>
    </row>
    <row r="187" spans="1:7">
      <c r="A187" s="1" t="str">
        <f>IFERROR(INDEX(Players!$B$4:$B$503,MATCH(184,Players!$K$4:$K$503,0)),"")</f>
        <v/>
      </c>
      <c r="B187" s="1" t="str">
        <f>IFERROR(INDEX(Players!$C$4:$C$503,MATCH(184,Players!$K$4:$K$503,0)),"")</f>
        <v/>
      </c>
      <c r="C187" s="1" t="str">
        <f>IFERROR(INDEX(Players!$D$4:$D$503,MATCH(184,Players!$K$4:$K$503,0)),"")</f>
        <v/>
      </c>
      <c r="D187" s="7" t="str">
        <f>IFERROR(INDEX(Players!$E$4:$E$503,MATCH(184,Players!$K$4:$K$503,0)),"")</f>
        <v/>
      </c>
      <c r="E187" s="1" t="str">
        <f>IFERROR(INDEX(Players!$G$4:$G$503,MATCH(184,Players!$K$4:$K$503,0)),"")</f>
        <v/>
      </c>
      <c r="F187" s="7" t="str">
        <f>IFERROR(INDEX(Players!$H$4:$H$503,MATCH(184,Players!$K$4:$K$503,0)),"")</f>
        <v/>
      </c>
      <c r="G187" s="1" t="str">
        <f>IFERROR(INDEX(Players!$I$4:$I$503,MATCH(184,Players!$K$4:$K$503,0)),"")</f>
        <v/>
      </c>
    </row>
    <row r="188" spans="1:7">
      <c r="A188" s="1" t="str">
        <f>IFERROR(INDEX(Players!$B$4:$B$503,MATCH(185,Players!$K$4:$K$503,0)),"")</f>
        <v/>
      </c>
      <c r="B188" s="1" t="str">
        <f>IFERROR(INDEX(Players!$C$4:$C$503,MATCH(185,Players!$K$4:$K$503,0)),"")</f>
        <v/>
      </c>
      <c r="C188" s="1" t="str">
        <f>IFERROR(INDEX(Players!$D$4:$D$503,MATCH(185,Players!$K$4:$K$503,0)),"")</f>
        <v/>
      </c>
      <c r="D188" s="7" t="str">
        <f>IFERROR(INDEX(Players!$E$4:$E$503,MATCH(185,Players!$K$4:$K$503,0)),"")</f>
        <v/>
      </c>
      <c r="E188" s="1" t="str">
        <f>IFERROR(INDEX(Players!$G$4:$G$503,MATCH(185,Players!$K$4:$K$503,0)),"")</f>
        <v/>
      </c>
      <c r="F188" s="7" t="str">
        <f>IFERROR(INDEX(Players!$H$4:$H$503,MATCH(185,Players!$K$4:$K$503,0)),"")</f>
        <v/>
      </c>
      <c r="G188" s="1" t="str">
        <f>IFERROR(INDEX(Players!$I$4:$I$503,MATCH(185,Players!$K$4:$K$503,0)),"")</f>
        <v/>
      </c>
    </row>
    <row r="189" spans="1:7">
      <c r="A189" s="1" t="str">
        <f>IFERROR(INDEX(Players!$B$4:$B$503,MATCH(186,Players!$K$4:$K$503,0)),"")</f>
        <v/>
      </c>
      <c r="B189" s="1" t="str">
        <f>IFERROR(INDEX(Players!$C$4:$C$503,MATCH(186,Players!$K$4:$K$503,0)),"")</f>
        <v/>
      </c>
      <c r="C189" s="1" t="str">
        <f>IFERROR(INDEX(Players!$D$4:$D$503,MATCH(186,Players!$K$4:$K$503,0)),"")</f>
        <v/>
      </c>
      <c r="D189" s="7" t="str">
        <f>IFERROR(INDEX(Players!$E$4:$E$503,MATCH(186,Players!$K$4:$K$503,0)),"")</f>
        <v/>
      </c>
      <c r="E189" s="1" t="str">
        <f>IFERROR(INDEX(Players!$G$4:$G$503,MATCH(186,Players!$K$4:$K$503,0)),"")</f>
        <v/>
      </c>
      <c r="F189" s="7" t="str">
        <f>IFERROR(INDEX(Players!$H$4:$H$503,MATCH(186,Players!$K$4:$K$503,0)),"")</f>
        <v/>
      </c>
      <c r="G189" s="1" t="str">
        <f>IFERROR(INDEX(Players!$I$4:$I$503,MATCH(186,Players!$K$4:$K$503,0)),"")</f>
        <v/>
      </c>
    </row>
    <row r="190" spans="1:7">
      <c r="A190" s="1" t="str">
        <f>IFERROR(INDEX(Players!$B$4:$B$503,MATCH(187,Players!$K$4:$K$503,0)),"")</f>
        <v/>
      </c>
      <c r="B190" s="1" t="str">
        <f>IFERROR(INDEX(Players!$C$4:$C$503,MATCH(187,Players!$K$4:$K$503,0)),"")</f>
        <v/>
      </c>
      <c r="C190" s="1" t="str">
        <f>IFERROR(INDEX(Players!$D$4:$D$503,MATCH(187,Players!$K$4:$K$503,0)),"")</f>
        <v/>
      </c>
      <c r="D190" s="7" t="str">
        <f>IFERROR(INDEX(Players!$E$4:$E$503,MATCH(187,Players!$K$4:$K$503,0)),"")</f>
        <v/>
      </c>
      <c r="E190" s="1" t="str">
        <f>IFERROR(INDEX(Players!$G$4:$G$503,MATCH(187,Players!$K$4:$K$503,0)),"")</f>
        <v/>
      </c>
      <c r="F190" s="7" t="str">
        <f>IFERROR(INDEX(Players!$H$4:$H$503,MATCH(187,Players!$K$4:$K$503,0)),"")</f>
        <v/>
      </c>
      <c r="G190" s="1" t="str">
        <f>IFERROR(INDEX(Players!$I$4:$I$503,MATCH(187,Players!$K$4:$K$503,0)),"")</f>
        <v/>
      </c>
    </row>
    <row r="191" spans="1:7">
      <c r="A191" s="1" t="str">
        <f>IFERROR(INDEX(Players!$B$4:$B$503,MATCH(188,Players!$K$4:$K$503,0)),"")</f>
        <v/>
      </c>
      <c r="B191" s="1" t="str">
        <f>IFERROR(INDEX(Players!$C$4:$C$503,MATCH(188,Players!$K$4:$K$503,0)),"")</f>
        <v/>
      </c>
      <c r="C191" s="1" t="str">
        <f>IFERROR(INDEX(Players!$D$4:$D$503,MATCH(188,Players!$K$4:$K$503,0)),"")</f>
        <v/>
      </c>
      <c r="D191" s="7" t="str">
        <f>IFERROR(INDEX(Players!$E$4:$E$503,MATCH(188,Players!$K$4:$K$503,0)),"")</f>
        <v/>
      </c>
      <c r="E191" s="1" t="str">
        <f>IFERROR(INDEX(Players!$G$4:$G$503,MATCH(188,Players!$K$4:$K$503,0)),"")</f>
        <v/>
      </c>
      <c r="F191" s="7" t="str">
        <f>IFERROR(INDEX(Players!$H$4:$H$503,MATCH(188,Players!$K$4:$K$503,0)),"")</f>
        <v/>
      </c>
      <c r="G191" s="1" t="str">
        <f>IFERROR(INDEX(Players!$I$4:$I$503,MATCH(188,Players!$K$4:$K$503,0)),"")</f>
        <v/>
      </c>
    </row>
    <row r="192" spans="1:7">
      <c r="A192" s="1" t="str">
        <f>IFERROR(INDEX(Players!$B$4:$B$503,MATCH(189,Players!$K$4:$K$503,0)),"")</f>
        <v/>
      </c>
      <c r="B192" s="1" t="str">
        <f>IFERROR(INDEX(Players!$C$4:$C$503,MATCH(189,Players!$K$4:$K$503,0)),"")</f>
        <v/>
      </c>
      <c r="C192" s="1" t="str">
        <f>IFERROR(INDEX(Players!$D$4:$D$503,MATCH(189,Players!$K$4:$K$503,0)),"")</f>
        <v/>
      </c>
      <c r="D192" s="7" t="str">
        <f>IFERROR(INDEX(Players!$E$4:$E$503,MATCH(189,Players!$K$4:$K$503,0)),"")</f>
        <v/>
      </c>
      <c r="E192" s="1" t="str">
        <f>IFERROR(INDEX(Players!$G$4:$G$503,MATCH(189,Players!$K$4:$K$503,0)),"")</f>
        <v/>
      </c>
      <c r="F192" s="7" t="str">
        <f>IFERROR(INDEX(Players!$H$4:$H$503,MATCH(189,Players!$K$4:$K$503,0)),"")</f>
        <v/>
      </c>
      <c r="G192" s="1" t="str">
        <f>IFERROR(INDEX(Players!$I$4:$I$503,MATCH(189,Players!$K$4:$K$503,0)),"")</f>
        <v/>
      </c>
    </row>
    <row r="193" spans="1:7">
      <c r="A193" s="1" t="str">
        <f>IFERROR(INDEX(Players!$B$4:$B$503,MATCH(190,Players!$K$4:$K$503,0)),"")</f>
        <v/>
      </c>
      <c r="B193" s="1" t="str">
        <f>IFERROR(INDEX(Players!$C$4:$C$503,MATCH(190,Players!$K$4:$K$503,0)),"")</f>
        <v/>
      </c>
      <c r="C193" s="1" t="str">
        <f>IFERROR(INDEX(Players!$D$4:$D$503,MATCH(190,Players!$K$4:$K$503,0)),"")</f>
        <v/>
      </c>
      <c r="D193" s="7" t="str">
        <f>IFERROR(INDEX(Players!$E$4:$E$503,MATCH(190,Players!$K$4:$K$503,0)),"")</f>
        <v/>
      </c>
      <c r="E193" s="1" t="str">
        <f>IFERROR(INDEX(Players!$G$4:$G$503,MATCH(190,Players!$K$4:$K$503,0)),"")</f>
        <v/>
      </c>
      <c r="F193" s="7" t="str">
        <f>IFERROR(INDEX(Players!$H$4:$H$503,MATCH(190,Players!$K$4:$K$503,0)),"")</f>
        <v/>
      </c>
      <c r="G193" s="1" t="str">
        <f>IFERROR(INDEX(Players!$I$4:$I$503,MATCH(190,Players!$K$4:$K$503,0)),"")</f>
        <v/>
      </c>
    </row>
    <row r="194" spans="1:7">
      <c r="A194" s="1" t="str">
        <f>IFERROR(INDEX(Players!$B$4:$B$503,MATCH(191,Players!$K$4:$K$503,0)),"")</f>
        <v/>
      </c>
      <c r="B194" s="1" t="str">
        <f>IFERROR(INDEX(Players!$C$4:$C$503,MATCH(191,Players!$K$4:$K$503,0)),"")</f>
        <v/>
      </c>
      <c r="C194" s="1" t="str">
        <f>IFERROR(INDEX(Players!$D$4:$D$503,MATCH(191,Players!$K$4:$K$503,0)),"")</f>
        <v/>
      </c>
      <c r="D194" s="7" t="str">
        <f>IFERROR(INDEX(Players!$E$4:$E$503,MATCH(191,Players!$K$4:$K$503,0)),"")</f>
        <v/>
      </c>
      <c r="E194" s="1" t="str">
        <f>IFERROR(INDEX(Players!$G$4:$G$503,MATCH(191,Players!$K$4:$K$503,0)),"")</f>
        <v/>
      </c>
      <c r="F194" s="7" t="str">
        <f>IFERROR(INDEX(Players!$H$4:$H$503,MATCH(191,Players!$K$4:$K$503,0)),"")</f>
        <v/>
      </c>
      <c r="G194" s="1" t="str">
        <f>IFERROR(INDEX(Players!$I$4:$I$503,MATCH(191,Players!$K$4:$K$503,0)),"")</f>
        <v/>
      </c>
    </row>
    <row r="195" spans="1:7">
      <c r="A195" s="1" t="str">
        <f>IFERROR(INDEX(Players!$B$4:$B$503,MATCH(192,Players!$K$4:$K$503,0)),"")</f>
        <v/>
      </c>
      <c r="B195" s="1" t="str">
        <f>IFERROR(INDEX(Players!$C$4:$C$503,MATCH(192,Players!$K$4:$K$503,0)),"")</f>
        <v/>
      </c>
      <c r="C195" s="1" t="str">
        <f>IFERROR(INDEX(Players!$D$4:$D$503,MATCH(192,Players!$K$4:$K$503,0)),"")</f>
        <v/>
      </c>
      <c r="D195" s="7" t="str">
        <f>IFERROR(INDEX(Players!$E$4:$E$503,MATCH(192,Players!$K$4:$K$503,0)),"")</f>
        <v/>
      </c>
      <c r="E195" s="1" t="str">
        <f>IFERROR(INDEX(Players!$G$4:$G$503,MATCH(192,Players!$K$4:$K$503,0)),"")</f>
        <v/>
      </c>
      <c r="F195" s="7" t="str">
        <f>IFERROR(INDEX(Players!$H$4:$H$503,MATCH(192,Players!$K$4:$K$503,0)),"")</f>
        <v/>
      </c>
      <c r="G195" s="1" t="str">
        <f>IFERROR(INDEX(Players!$I$4:$I$503,MATCH(192,Players!$K$4:$K$503,0)),"")</f>
        <v/>
      </c>
    </row>
    <row r="196" spans="1:7">
      <c r="A196" s="1" t="str">
        <f>IFERROR(INDEX(Players!$B$4:$B$503,MATCH(193,Players!$K$4:$K$503,0)),"")</f>
        <v/>
      </c>
      <c r="B196" s="1" t="str">
        <f>IFERROR(INDEX(Players!$C$4:$C$503,MATCH(193,Players!$K$4:$K$503,0)),"")</f>
        <v/>
      </c>
      <c r="C196" s="1" t="str">
        <f>IFERROR(INDEX(Players!$D$4:$D$503,MATCH(193,Players!$K$4:$K$503,0)),"")</f>
        <v/>
      </c>
      <c r="D196" s="7" t="str">
        <f>IFERROR(INDEX(Players!$E$4:$E$503,MATCH(193,Players!$K$4:$K$503,0)),"")</f>
        <v/>
      </c>
      <c r="E196" s="1" t="str">
        <f>IFERROR(INDEX(Players!$G$4:$G$503,MATCH(193,Players!$K$4:$K$503,0)),"")</f>
        <v/>
      </c>
      <c r="F196" s="7" t="str">
        <f>IFERROR(INDEX(Players!$H$4:$H$503,MATCH(193,Players!$K$4:$K$503,0)),"")</f>
        <v/>
      </c>
      <c r="G196" s="1" t="str">
        <f>IFERROR(INDEX(Players!$I$4:$I$503,MATCH(193,Players!$K$4:$K$503,0)),"")</f>
        <v/>
      </c>
    </row>
    <row r="197" spans="1:7">
      <c r="A197" s="1" t="str">
        <f>IFERROR(INDEX(Players!$B$4:$B$503,MATCH(194,Players!$K$4:$K$503,0)),"")</f>
        <v/>
      </c>
      <c r="B197" s="1" t="str">
        <f>IFERROR(INDEX(Players!$C$4:$C$503,MATCH(194,Players!$K$4:$K$503,0)),"")</f>
        <v/>
      </c>
      <c r="C197" s="1" t="str">
        <f>IFERROR(INDEX(Players!$D$4:$D$503,MATCH(194,Players!$K$4:$K$503,0)),"")</f>
        <v/>
      </c>
      <c r="D197" s="7" t="str">
        <f>IFERROR(INDEX(Players!$E$4:$E$503,MATCH(194,Players!$K$4:$K$503,0)),"")</f>
        <v/>
      </c>
      <c r="E197" s="1" t="str">
        <f>IFERROR(INDEX(Players!$G$4:$G$503,MATCH(194,Players!$K$4:$K$503,0)),"")</f>
        <v/>
      </c>
      <c r="F197" s="7" t="str">
        <f>IFERROR(INDEX(Players!$H$4:$H$503,MATCH(194,Players!$K$4:$K$503,0)),"")</f>
        <v/>
      </c>
      <c r="G197" s="1" t="str">
        <f>IFERROR(INDEX(Players!$I$4:$I$503,MATCH(194,Players!$K$4:$K$503,0)),"")</f>
        <v/>
      </c>
    </row>
    <row r="198" spans="1:7">
      <c r="A198" s="1" t="str">
        <f>IFERROR(INDEX(Players!$B$4:$B$503,MATCH(195,Players!$K$4:$K$503,0)),"")</f>
        <v/>
      </c>
      <c r="B198" s="1" t="str">
        <f>IFERROR(INDEX(Players!$C$4:$C$503,MATCH(195,Players!$K$4:$K$503,0)),"")</f>
        <v/>
      </c>
      <c r="C198" s="1" t="str">
        <f>IFERROR(INDEX(Players!$D$4:$D$503,MATCH(195,Players!$K$4:$K$503,0)),"")</f>
        <v/>
      </c>
      <c r="D198" s="7" t="str">
        <f>IFERROR(INDEX(Players!$E$4:$E$503,MATCH(195,Players!$K$4:$K$503,0)),"")</f>
        <v/>
      </c>
      <c r="E198" s="1" t="str">
        <f>IFERROR(INDEX(Players!$G$4:$G$503,MATCH(195,Players!$K$4:$K$503,0)),"")</f>
        <v/>
      </c>
      <c r="F198" s="7" t="str">
        <f>IFERROR(INDEX(Players!$H$4:$H$503,MATCH(195,Players!$K$4:$K$503,0)),"")</f>
        <v/>
      </c>
      <c r="G198" s="1" t="str">
        <f>IFERROR(INDEX(Players!$I$4:$I$503,MATCH(195,Players!$K$4:$K$503,0)),"")</f>
        <v/>
      </c>
    </row>
    <row r="199" spans="1:7">
      <c r="A199" s="1" t="str">
        <f>IFERROR(INDEX(Players!$B$4:$B$503,MATCH(196,Players!$K$4:$K$503,0)),"")</f>
        <v/>
      </c>
      <c r="B199" s="1" t="str">
        <f>IFERROR(INDEX(Players!$C$4:$C$503,MATCH(196,Players!$K$4:$K$503,0)),"")</f>
        <v/>
      </c>
      <c r="C199" s="1" t="str">
        <f>IFERROR(INDEX(Players!$D$4:$D$503,MATCH(196,Players!$K$4:$K$503,0)),"")</f>
        <v/>
      </c>
      <c r="D199" s="7" t="str">
        <f>IFERROR(INDEX(Players!$E$4:$E$503,MATCH(196,Players!$K$4:$K$503,0)),"")</f>
        <v/>
      </c>
      <c r="E199" s="1" t="str">
        <f>IFERROR(INDEX(Players!$G$4:$G$503,MATCH(196,Players!$K$4:$K$503,0)),"")</f>
        <v/>
      </c>
      <c r="F199" s="7" t="str">
        <f>IFERROR(INDEX(Players!$H$4:$H$503,MATCH(196,Players!$K$4:$K$503,0)),"")</f>
        <v/>
      </c>
      <c r="G199" s="1" t="str">
        <f>IFERROR(INDEX(Players!$I$4:$I$503,MATCH(196,Players!$K$4:$K$503,0)),"")</f>
        <v/>
      </c>
    </row>
    <row r="200" spans="1:7">
      <c r="A200" s="1" t="str">
        <f>IFERROR(INDEX(Players!$B$4:$B$503,MATCH(197,Players!$K$4:$K$503,0)),"")</f>
        <v/>
      </c>
      <c r="B200" s="1" t="str">
        <f>IFERROR(INDEX(Players!$C$4:$C$503,MATCH(197,Players!$K$4:$K$503,0)),"")</f>
        <v/>
      </c>
      <c r="C200" s="1" t="str">
        <f>IFERROR(INDEX(Players!$D$4:$D$503,MATCH(197,Players!$K$4:$K$503,0)),"")</f>
        <v/>
      </c>
      <c r="D200" s="7" t="str">
        <f>IFERROR(INDEX(Players!$E$4:$E$503,MATCH(197,Players!$K$4:$K$503,0)),"")</f>
        <v/>
      </c>
      <c r="E200" s="1" t="str">
        <f>IFERROR(INDEX(Players!$G$4:$G$503,MATCH(197,Players!$K$4:$K$503,0)),"")</f>
        <v/>
      </c>
      <c r="F200" s="7" t="str">
        <f>IFERROR(INDEX(Players!$H$4:$H$503,MATCH(197,Players!$K$4:$K$503,0)),"")</f>
        <v/>
      </c>
      <c r="G200" s="1" t="str">
        <f>IFERROR(INDEX(Players!$I$4:$I$503,MATCH(197,Players!$K$4:$K$503,0)),"")</f>
        <v/>
      </c>
    </row>
    <row r="201" spans="1:7">
      <c r="A201" s="1" t="str">
        <f>IFERROR(INDEX(Players!$B$4:$B$503,MATCH(198,Players!$K$4:$K$503,0)),"")</f>
        <v/>
      </c>
      <c r="B201" s="1" t="str">
        <f>IFERROR(INDEX(Players!$C$4:$C$503,MATCH(198,Players!$K$4:$K$503,0)),"")</f>
        <v/>
      </c>
      <c r="C201" s="1" t="str">
        <f>IFERROR(INDEX(Players!$D$4:$D$503,MATCH(198,Players!$K$4:$K$503,0)),"")</f>
        <v/>
      </c>
      <c r="D201" s="7" t="str">
        <f>IFERROR(INDEX(Players!$E$4:$E$503,MATCH(198,Players!$K$4:$K$503,0)),"")</f>
        <v/>
      </c>
      <c r="E201" s="1" t="str">
        <f>IFERROR(INDEX(Players!$G$4:$G$503,MATCH(198,Players!$K$4:$K$503,0)),"")</f>
        <v/>
      </c>
      <c r="F201" s="7" t="str">
        <f>IFERROR(INDEX(Players!$H$4:$H$503,MATCH(198,Players!$K$4:$K$503,0)),"")</f>
        <v/>
      </c>
      <c r="G201" s="1" t="str">
        <f>IFERROR(INDEX(Players!$I$4:$I$503,MATCH(198,Players!$K$4:$K$503,0)),"")</f>
        <v/>
      </c>
    </row>
    <row r="202" spans="1:7">
      <c r="A202" s="1" t="str">
        <f>IFERROR(INDEX(Players!$B$4:$B$503,MATCH(199,Players!$K$4:$K$503,0)),"")</f>
        <v/>
      </c>
      <c r="B202" s="1" t="str">
        <f>IFERROR(INDEX(Players!$C$4:$C$503,MATCH(199,Players!$K$4:$K$503,0)),"")</f>
        <v/>
      </c>
      <c r="C202" s="1" t="str">
        <f>IFERROR(INDEX(Players!$D$4:$D$503,MATCH(199,Players!$K$4:$K$503,0)),"")</f>
        <v/>
      </c>
      <c r="D202" s="7" t="str">
        <f>IFERROR(INDEX(Players!$E$4:$E$503,MATCH(199,Players!$K$4:$K$503,0)),"")</f>
        <v/>
      </c>
      <c r="E202" s="1" t="str">
        <f>IFERROR(INDEX(Players!$G$4:$G$503,MATCH(199,Players!$K$4:$K$503,0)),"")</f>
        <v/>
      </c>
      <c r="F202" s="7" t="str">
        <f>IFERROR(INDEX(Players!$H$4:$H$503,MATCH(199,Players!$K$4:$K$503,0)),"")</f>
        <v/>
      </c>
      <c r="G202" s="1" t="str">
        <f>IFERROR(INDEX(Players!$I$4:$I$503,MATCH(199,Players!$K$4:$K$503,0)),"")</f>
        <v/>
      </c>
    </row>
    <row r="203" spans="1:7">
      <c r="A203" s="1" t="str">
        <f>IFERROR(INDEX(Players!$B$4:$B$503,MATCH(200,Players!$K$4:$K$503,0)),"")</f>
        <v/>
      </c>
      <c r="B203" s="1" t="str">
        <f>IFERROR(INDEX(Players!$C$4:$C$503,MATCH(200,Players!$K$4:$K$503,0)),"")</f>
        <v/>
      </c>
      <c r="C203" s="1" t="str">
        <f>IFERROR(INDEX(Players!$D$4:$D$503,MATCH(200,Players!$K$4:$K$503,0)),"")</f>
        <v/>
      </c>
      <c r="D203" s="7" t="str">
        <f>IFERROR(INDEX(Players!$E$4:$E$503,MATCH(200,Players!$K$4:$K$503,0)),"")</f>
        <v/>
      </c>
      <c r="E203" s="1" t="str">
        <f>IFERROR(INDEX(Players!$G$4:$G$503,MATCH(200,Players!$K$4:$K$503,0)),"")</f>
        <v/>
      </c>
      <c r="F203" s="7" t="str">
        <f>IFERROR(INDEX(Players!$H$4:$H$503,MATCH(200,Players!$K$4:$K$503,0)),"")</f>
        <v/>
      </c>
      <c r="G203" s="1" t="str">
        <f>IFERROR(INDEX(Players!$I$4:$I$503,MATCH(200,Players!$K$4:$K$503,0)),"")</f>
        <v/>
      </c>
    </row>
    <row r="204" spans="1:7">
      <c r="A204" s="1" t="str">
        <f>IFERROR(INDEX(Players!$B$4:$B$503,MATCH(201,Players!$K$4:$K$503,0)),"")</f>
        <v/>
      </c>
      <c r="B204" s="1" t="str">
        <f>IFERROR(INDEX(Players!$C$4:$C$503,MATCH(201,Players!$K$4:$K$503,0)),"")</f>
        <v/>
      </c>
      <c r="C204" s="1" t="str">
        <f>IFERROR(INDEX(Players!$D$4:$D$503,MATCH(201,Players!$K$4:$K$503,0)),"")</f>
        <v/>
      </c>
      <c r="D204" s="7" t="str">
        <f>IFERROR(INDEX(Players!$E$4:$E$503,MATCH(201,Players!$K$4:$K$503,0)),"")</f>
        <v/>
      </c>
      <c r="E204" s="1" t="str">
        <f>IFERROR(INDEX(Players!$G$4:$G$503,MATCH(201,Players!$K$4:$K$503,0)),"")</f>
        <v/>
      </c>
      <c r="F204" s="7" t="str">
        <f>IFERROR(INDEX(Players!$H$4:$H$503,MATCH(201,Players!$K$4:$K$503,0)),"")</f>
        <v/>
      </c>
      <c r="G204" s="1" t="str">
        <f>IFERROR(INDEX(Players!$I$4:$I$503,MATCH(201,Players!$K$4:$K$503,0)),"")</f>
        <v/>
      </c>
    </row>
    <row r="205" spans="1:7">
      <c r="A205" s="1" t="str">
        <f>IFERROR(INDEX(Players!$B$4:$B$503,MATCH(202,Players!$K$4:$K$503,0)),"")</f>
        <v/>
      </c>
      <c r="B205" s="1" t="str">
        <f>IFERROR(INDEX(Players!$C$4:$C$503,MATCH(202,Players!$K$4:$K$503,0)),"")</f>
        <v/>
      </c>
      <c r="C205" s="1" t="str">
        <f>IFERROR(INDEX(Players!$D$4:$D$503,MATCH(202,Players!$K$4:$K$503,0)),"")</f>
        <v/>
      </c>
      <c r="D205" s="7" t="str">
        <f>IFERROR(INDEX(Players!$E$4:$E$503,MATCH(202,Players!$K$4:$K$503,0)),"")</f>
        <v/>
      </c>
      <c r="E205" s="1" t="str">
        <f>IFERROR(INDEX(Players!$G$4:$G$503,MATCH(202,Players!$K$4:$K$503,0)),"")</f>
        <v/>
      </c>
      <c r="F205" s="7" t="str">
        <f>IFERROR(INDEX(Players!$H$4:$H$503,MATCH(202,Players!$K$4:$K$503,0)),"")</f>
        <v/>
      </c>
      <c r="G205" s="1" t="str">
        <f>IFERROR(INDEX(Players!$I$4:$I$503,MATCH(202,Players!$K$4:$K$503,0)),"")</f>
        <v/>
      </c>
    </row>
    <row r="206" spans="1:7">
      <c r="A206" s="1" t="str">
        <f>IFERROR(INDEX(Players!$B$4:$B$503,MATCH(203,Players!$K$4:$K$503,0)),"")</f>
        <v/>
      </c>
      <c r="B206" s="1" t="str">
        <f>IFERROR(INDEX(Players!$C$4:$C$503,MATCH(203,Players!$K$4:$K$503,0)),"")</f>
        <v/>
      </c>
      <c r="C206" s="1" t="str">
        <f>IFERROR(INDEX(Players!$D$4:$D$503,MATCH(203,Players!$K$4:$K$503,0)),"")</f>
        <v/>
      </c>
      <c r="D206" s="7" t="str">
        <f>IFERROR(INDEX(Players!$E$4:$E$503,MATCH(203,Players!$K$4:$K$503,0)),"")</f>
        <v/>
      </c>
      <c r="E206" s="1" t="str">
        <f>IFERROR(INDEX(Players!$G$4:$G$503,MATCH(203,Players!$K$4:$K$503,0)),"")</f>
        <v/>
      </c>
      <c r="F206" s="7" t="str">
        <f>IFERROR(INDEX(Players!$H$4:$H$503,MATCH(203,Players!$K$4:$K$503,0)),"")</f>
        <v/>
      </c>
      <c r="G206" s="1" t="str">
        <f>IFERROR(INDEX(Players!$I$4:$I$503,MATCH(203,Players!$K$4:$K$503,0)),"")</f>
        <v/>
      </c>
    </row>
    <row r="207" spans="1:7">
      <c r="A207" s="1" t="str">
        <f>IFERROR(INDEX(Players!$B$4:$B$503,MATCH(204,Players!$K$4:$K$503,0)),"")</f>
        <v/>
      </c>
      <c r="B207" s="1" t="str">
        <f>IFERROR(INDEX(Players!$C$4:$C$503,MATCH(204,Players!$K$4:$K$503,0)),"")</f>
        <v/>
      </c>
      <c r="C207" s="1" t="str">
        <f>IFERROR(INDEX(Players!$D$4:$D$503,MATCH(204,Players!$K$4:$K$503,0)),"")</f>
        <v/>
      </c>
      <c r="D207" s="7" t="str">
        <f>IFERROR(INDEX(Players!$E$4:$E$503,MATCH(204,Players!$K$4:$K$503,0)),"")</f>
        <v/>
      </c>
      <c r="E207" s="1" t="str">
        <f>IFERROR(INDEX(Players!$G$4:$G$503,MATCH(204,Players!$K$4:$K$503,0)),"")</f>
        <v/>
      </c>
      <c r="F207" s="7" t="str">
        <f>IFERROR(INDEX(Players!$H$4:$H$503,MATCH(204,Players!$K$4:$K$503,0)),"")</f>
        <v/>
      </c>
      <c r="G207" s="1" t="str">
        <f>IFERROR(INDEX(Players!$I$4:$I$503,MATCH(204,Players!$K$4:$K$503,0)),"")</f>
        <v/>
      </c>
    </row>
    <row r="208" spans="1:7">
      <c r="A208" s="1" t="str">
        <f>IFERROR(INDEX(Players!$B$4:$B$503,MATCH(205,Players!$K$4:$K$503,0)),"")</f>
        <v/>
      </c>
      <c r="B208" s="1" t="str">
        <f>IFERROR(INDEX(Players!$C$4:$C$503,MATCH(205,Players!$K$4:$K$503,0)),"")</f>
        <v/>
      </c>
      <c r="C208" s="1" t="str">
        <f>IFERROR(INDEX(Players!$D$4:$D$503,MATCH(205,Players!$K$4:$K$503,0)),"")</f>
        <v/>
      </c>
      <c r="D208" s="7" t="str">
        <f>IFERROR(INDEX(Players!$E$4:$E$503,MATCH(205,Players!$K$4:$K$503,0)),"")</f>
        <v/>
      </c>
      <c r="E208" s="1" t="str">
        <f>IFERROR(INDEX(Players!$G$4:$G$503,MATCH(205,Players!$K$4:$K$503,0)),"")</f>
        <v/>
      </c>
      <c r="F208" s="7" t="str">
        <f>IFERROR(INDEX(Players!$H$4:$H$503,MATCH(205,Players!$K$4:$K$503,0)),"")</f>
        <v/>
      </c>
      <c r="G208" s="1" t="str">
        <f>IFERROR(INDEX(Players!$I$4:$I$503,MATCH(205,Players!$K$4:$K$503,0)),"")</f>
        <v/>
      </c>
    </row>
    <row r="209" spans="1:7">
      <c r="A209" s="1" t="str">
        <f>IFERROR(INDEX(Players!$B$4:$B$503,MATCH(206,Players!$K$4:$K$503,0)),"")</f>
        <v/>
      </c>
      <c r="B209" s="1" t="str">
        <f>IFERROR(INDEX(Players!$C$4:$C$503,MATCH(206,Players!$K$4:$K$503,0)),"")</f>
        <v/>
      </c>
      <c r="C209" s="1" t="str">
        <f>IFERROR(INDEX(Players!$D$4:$D$503,MATCH(206,Players!$K$4:$K$503,0)),"")</f>
        <v/>
      </c>
      <c r="D209" s="7" t="str">
        <f>IFERROR(INDEX(Players!$E$4:$E$503,MATCH(206,Players!$K$4:$K$503,0)),"")</f>
        <v/>
      </c>
      <c r="E209" s="1" t="str">
        <f>IFERROR(INDEX(Players!$G$4:$G$503,MATCH(206,Players!$K$4:$K$503,0)),"")</f>
        <v/>
      </c>
      <c r="F209" s="7" t="str">
        <f>IFERROR(INDEX(Players!$H$4:$H$503,MATCH(206,Players!$K$4:$K$503,0)),"")</f>
        <v/>
      </c>
      <c r="G209" s="1" t="str">
        <f>IFERROR(INDEX(Players!$I$4:$I$503,MATCH(206,Players!$K$4:$K$503,0)),"")</f>
        <v/>
      </c>
    </row>
    <row r="210" spans="1:7">
      <c r="A210" s="1" t="str">
        <f>IFERROR(INDEX(Players!$B$4:$B$503,MATCH(207,Players!$K$4:$K$503,0)),"")</f>
        <v/>
      </c>
      <c r="B210" s="1" t="str">
        <f>IFERROR(INDEX(Players!$C$4:$C$503,MATCH(207,Players!$K$4:$K$503,0)),"")</f>
        <v/>
      </c>
      <c r="C210" s="1" t="str">
        <f>IFERROR(INDEX(Players!$D$4:$D$503,MATCH(207,Players!$K$4:$K$503,0)),"")</f>
        <v/>
      </c>
      <c r="D210" s="7" t="str">
        <f>IFERROR(INDEX(Players!$E$4:$E$503,MATCH(207,Players!$K$4:$K$503,0)),"")</f>
        <v/>
      </c>
      <c r="E210" s="1" t="str">
        <f>IFERROR(INDEX(Players!$G$4:$G$503,MATCH(207,Players!$K$4:$K$503,0)),"")</f>
        <v/>
      </c>
      <c r="F210" s="7" t="str">
        <f>IFERROR(INDEX(Players!$H$4:$H$503,MATCH(207,Players!$K$4:$K$503,0)),"")</f>
        <v/>
      </c>
      <c r="G210" s="1" t="str">
        <f>IFERROR(INDEX(Players!$I$4:$I$503,MATCH(207,Players!$K$4:$K$503,0)),"")</f>
        <v/>
      </c>
    </row>
    <row r="211" spans="1:7">
      <c r="A211" s="1" t="str">
        <f>IFERROR(INDEX(Players!$B$4:$B$503,MATCH(208,Players!$K$4:$K$503,0)),"")</f>
        <v/>
      </c>
      <c r="B211" s="1" t="str">
        <f>IFERROR(INDEX(Players!$C$4:$C$503,MATCH(208,Players!$K$4:$K$503,0)),"")</f>
        <v/>
      </c>
      <c r="C211" s="1" t="str">
        <f>IFERROR(INDEX(Players!$D$4:$D$503,MATCH(208,Players!$K$4:$K$503,0)),"")</f>
        <v/>
      </c>
      <c r="D211" s="7" t="str">
        <f>IFERROR(INDEX(Players!$E$4:$E$503,MATCH(208,Players!$K$4:$K$503,0)),"")</f>
        <v/>
      </c>
      <c r="E211" s="1" t="str">
        <f>IFERROR(INDEX(Players!$G$4:$G$503,MATCH(208,Players!$K$4:$K$503,0)),"")</f>
        <v/>
      </c>
      <c r="F211" s="7" t="str">
        <f>IFERROR(INDEX(Players!$H$4:$H$503,MATCH(208,Players!$K$4:$K$503,0)),"")</f>
        <v/>
      </c>
      <c r="G211" s="1" t="str">
        <f>IFERROR(INDEX(Players!$I$4:$I$503,MATCH(208,Players!$K$4:$K$503,0)),"")</f>
        <v/>
      </c>
    </row>
    <row r="212" spans="1:7">
      <c r="A212" s="1" t="str">
        <f>IFERROR(INDEX(Players!$B$4:$B$503,MATCH(209,Players!$K$4:$K$503,0)),"")</f>
        <v/>
      </c>
      <c r="B212" s="1" t="str">
        <f>IFERROR(INDEX(Players!$C$4:$C$503,MATCH(209,Players!$K$4:$K$503,0)),"")</f>
        <v/>
      </c>
      <c r="C212" s="1" t="str">
        <f>IFERROR(INDEX(Players!$D$4:$D$503,MATCH(209,Players!$K$4:$K$503,0)),"")</f>
        <v/>
      </c>
      <c r="D212" s="7" t="str">
        <f>IFERROR(INDEX(Players!$E$4:$E$503,MATCH(209,Players!$K$4:$K$503,0)),"")</f>
        <v/>
      </c>
      <c r="E212" s="1" t="str">
        <f>IFERROR(INDEX(Players!$G$4:$G$503,MATCH(209,Players!$K$4:$K$503,0)),"")</f>
        <v/>
      </c>
      <c r="F212" s="7" t="str">
        <f>IFERROR(INDEX(Players!$H$4:$H$503,MATCH(209,Players!$K$4:$K$503,0)),"")</f>
        <v/>
      </c>
      <c r="G212" s="1" t="str">
        <f>IFERROR(INDEX(Players!$I$4:$I$503,MATCH(209,Players!$K$4:$K$503,0)),"")</f>
        <v/>
      </c>
    </row>
    <row r="213" spans="1:7">
      <c r="A213" s="1" t="str">
        <f>IFERROR(INDEX(Players!$B$4:$B$503,MATCH(210,Players!$K$4:$K$503,0)),"")</f>
        <v/>
      </c>
      <c r="B213" s="1" t="str">
        <f>IFERROR(INDEX(Players!$C$4:$C$503,MATCH(210,Players!$K$4:$K$503,0)),"")</f>
        <v/>
      </c>
      <c r="C213" s="1" t="str">
        <f>IFERROR(INDEX(Players!$D$4:$D$503,MATCH(210,Players!$K$4:$K$503,0)),"")</f>
        <v/>
      </c>
      <c r="D213" s="7" t="str">
        <f>IFERROR(INDEX(Players!$E$4:$E$503,MATCH(210,Players!$K$4:$K$503,0)),"")</f>
        <v/>
      </c>
      <c r="E213" s="1" t="str">
        <f>IFERROR(INDEX(Players!$G$4:$G$503,MATCH(210,Players!$K$4:$K$503,0)),"")</f>
        <v/>
      </c>
      <c r="F213" s="7" t="str">
        <f>IFERROR(INDEX(Players!$H$4:$H$503,MATCH(210,Players!$K$4:$K$503,0)),"")</f>
        <v/>
      </c>
      <c r="G213" s="1" t="str">
        <f>IFERROR(INDEX(Players!$I$4:$I$503,MATCH(210,Players!$K$4:$K$503,0)),"")</f>
        <v/>
      </c>
    </row>
    <row r="214" spans="1:7">
      <c r="A214" s="1" t="str">
        <f>IFERROR(INDEX(Players!$B$4:$B$503,MATCH(211,Players!$K$4:$K$503,0)),"")</f>
        <v/>
      </c>
      <c r="B214" s="1" t="str">
        <f>IFERROR(INDEX(Players!$C$4:$C$503,MATCH(211,Players!$K$4:$K$503,0)),"")</f>
        <v/>
      </c>
      <c r="C214" s="1" t="str">
        <f>IFERROR(INDEX(Players!$D$4:$D$503,MATCH(211,Players!$K$4:$K$503,0)),"")</f>
        <v/>
      </c>
      <c r="D214" s="7" t="str">
        <f>IFERROR(INDEX(Players!$E$4:$E$503,MATCH(211,Players!$K$4:$K$503,0)),"")</f>
        <v/>
      </c>
      <c r="E214" s="1" t="str">
        <f>IFERROR(INDEX(Players!$G$4:$G$503,MATCH(211,Players!$K$4:$K$503,0)),"")</f>
        <v/>
      </c>
      <c r="F214" s="7" t="str">
        <f>IFERROR(INDEX(Players!$H$4:$H$503,MATCH(211,Players!$K$4:$K$503,0)),"")</f>
        <v/>
      </c>
      <c r="G214" s="1" t="str">
        <f>IFERROR(INDEX(Players!$I$4:$I$503,MATCH(211,Players!$K$4:$K$503,0)),"")</f>
        <v/>
      </c>
    </row>
    <row r="215" spans="1:7">
      <c r="A215" s="1" t="str">
        <f>IFERROR(INDEX(Players!$B$4:$B$503,MATCH(212,Players!$K$4:$K$503,0)),"")</f>
        <v/>
      </c>
      <c r="B215" s="1" t="str">
        <f>IFERROR(INDEX(Players!$C$4:$C$503,MATCH(212,Players!$K$4:$K$503,0)),"")</f>
        <v/>
      </c>
      <c r="C215" s="1" t="str">
        <f>IFERROR(INDEX(Players!$D$4:$D$503,MATCH(212,Players!$K$4:$K$503,0)),"")</f>
        <v/>
      </c>
      <c r="D215" s="7" t="str">
        <f>IFERROR(INDEX(Players!$E$4:$E$503,MATCH(212,Players!$K$4:$K$503,0)),"")</f>
        <v/>
      </c>
      <c r="E215" s="1" t="str">
        <f>IFERROR(INDEX(Players!$G$4:$G$503,MATCH(212,Players!$K$4:$K$503,0)),"")</f>
        <v/>
      </c>
      <c r="F215" s="7" t="str">
        <f>IFERROR(INDEX(Players!$H$4:$H$503,MATCH(212,Players!$K$4:$K$503,0)),"")</f>
        <v/>
      </c>
      <c r="G215" s="1" t="str">
        <f>IFERROR(INDEX(Players!$I$4:$I$503,MATCH(212,Players!$K$4:$K$503,0)),"")</f>
        <v/>
      </c>
    </row>
    <row r="216" spans="1:7">
      <c r="A216" s="1" t="str">
        <f>IFERROR(INDEX(Players!$B$4:$B$503,MATCH(213,Players!$K$4:$K$503,0)),"")</f>
        <v/>
      </c>
      <c r="B216" s="1" t="str">
        <f>IFERROR(INDEX(Players!$C$4:$C$503,MATCH(213,Players!$K$4:$K$503,0)),"")</f>
        <v/>
      </c>
      <c r="C216" s="1" t="str">
        <f>IFERROR(INDEX(Players!$D$4:$D$503,MATCH(213,Players!$K$4:$K$503,0)),"")</f>
        <v/>
      </c>
      <c r="D216" s="7" t="str">
        <f>IFERROR(INDEX(Players!$E$4:$E$503,MATCH(213,Players!$K$4:$K$503,0)),"")</f>
        <v/>
      </c>
      <c r="E216" s="1" t="str">
        <f>IFERROR(INDEX(Players!$G$4:$G$503,MATCH(213,Players!$K$4:$K$503,0)),"")</f>
        <v/>
      </c>
      <c r="F216" s="7" t="str">
        <f>IFERROR(INDEX(Players!$H$4:$H$503,MATCH(213,Players!$K$4:$K$503,0)),"")</f>
        <v/>
      </c>
      <c r="G216" s="1" t="str">
        <f>IFERROR(INDEX(Players!$I$4:$I$503,MATCH(213,Players!$K$4:$K$503,0)),"")</f>
        <v/>
      </c>
    </row>
    <row r="217" spans="1:7">
      <c r="A217" s="1" t="str">
        <f>IFERROR(INDEX(Players!$B$4:$B$503,MATCH(214,Players!$K$4:$K$503,0)),"")</f>
        <v/>
      </c>
      <c r="B217" s="1" t="str">
        <f>IFERROR(INDEX(Players!$C$4:$C$503,MATCH(214,Players!$K$4:$K$503,0)),"")</f>
        <v/>
      </c>
      <c r="C217" s="1" t="str">
        <f>IFERROR(INDEX(Players!$D$4:$D$503,MATCH(214,Players!$K$4:$K$503,0)),"")</f>
        <v/>
      </c>
      <c r="D217" s="7" t="str">
        <f>IFERROR(INDEX(Players!$E$4:$E$503,MATCH(214,Players!$K$4:$K$503,0)),"")</f>
        <v/>
      </c>
      <c r="E217" s="1" t="str">
        <f>IFERROR(INDEX(Players!$G$4:$G$503,MATCH(214,Players!$K$4:$K$503,0)),"")</f>
        <v/>
      </c>
      <c r="F217" s="7" t="str">
        <f>IFERROR(INDEX(Players!$H$4:$H$503,MATCH(214,Players!$K$4:$K$503,0)),"")</f>
        <v/>
      </c>
      <c r="G217" s="1" t="str">
        <f>IFERROR(INDEX(Players!$I$4:$I$503,MATCH(214,Players!$K$4:$K$503,0)),"")</f>
        <v/>
      </c>
    </row>
    <row r="218" spans="1:7">
      <c r="A218" s="1" t="str">
        <f>IFERROR(INDEX(Players!$B$4:$B$503,MATCH(215,Players!$K$4:$K$503,0)),"")</f>
        <v/>
      </c>
      <c r="B218" s="1" t="str">
        <f>IFERROR(INDEX(Players!$C$4:$C$503,MATCH(215,Players!$K$4:$K$503,0)),"")</f>
        <v/>
      </c>
      <c r="C218" s="1" t="str">
        <f>IFERROR(INDEX(Players!$D$4:$D$503,MATCH(215,Players!$K$4:$K$503,0)),"")</f>
        <v/>
      </c>
      <c r="D218" s="7" t="str">
        <f>IFERROR(INDEX(Players!$E$4:$E$503,MATCH(215,Players!$K$4:$K$503,0)),"")</f>
        <v/>
      </c>
      <c r="E218" s="1" t="str">
        <f>IFERROR(INDEX(Players!$G$4:$G$503,MATCH(215,Players!$K$4:$K$503,0)),"")</f>
        <v/>
      </c>
      <c r="F218" s="7" t="str">
        <f>IFERROR(INDEX(Players!$H$4:$H$503,MATCH(215,Players!$K$4:$K$503,0)),"")</f>
        <v/>
      </c>
      <c r="G218" s="1" t="str">
        <f>IFERROR(INDEX(Players!$I$4:$I$503,MATCH(215,Players!$K$4:$K$503,0)),"")</f>
        <v/>
      </c>
    </row>
    <row r="219" spans="1:7">
      <c r="A219" s="1" t="str">
        <f>IFERROR(INDEX(Players!$B$4:$B$503,MATCH(216,Players!$K$4:$K$503,0)),"")</f>
        <v/>
      </c>
      <c r="B219" s="1" t="str">
        <f>IFERROR(INDEX(Players!$C$4:$C$503,MATCH(216,Players!$K$4:$K$503,0)),"")</f>
        <v/>
      </c>
      <c r="C219" s="1" t="str">
        <f>IFERROR(INDEX(Players!$D$4:$D$503,MATCH(216,Players!$K$4:$K$503,0)),"")</f>
        <v/>
      </c>
      <c r="D219" s="7" t="str">
        <f>IFERROR(INDEX(Players!$E$4:$E$503,MATCH(216,Players!$K$4:$K$503,0)),"")</f>
        <v/>
      </c>
      <c r="E219" s="1" t="str">
        <f>IFERROR(INDEX(Players!$G$4:$G$503,MATCH(216,Players!$K$4:$K$503,0)),"")</f>
        <v/>
      </c>
      <c r="F219" s="7" t="str">
        <f>IFERROR(INDEX(Players!$H$4:$H$503,MATCH(216,Players!$K$4:$K$503,0)),"")</f>
        <v/>
      </c>
      <c r="G219" s="1" t="str">
        <f>IFERROR(INDEX(Players!$I$4:$I$503,MATCH(216,Players!$K$4:$K$503,0)),"")</f>
        <v/>
      </c>
    </row>
    <row r="220" spans="1:7">
      <c r="A220" s="1" t="str">
        <f>IFERROR(INDEX(Players!$B$4:$B$503,MATCH(217,Players!$K$4:$K$503,0)),"")</f>
        <v/>
      </c>
      <c r="B220" s="1" t="str">
        <f>IFERROR(INDEX(Players!$C$4:$C$503,MATCH(217,Players!$K$4:$K$503,0)),"")</f>
        <v/>
      </c>
      <c r="C220" s="1" t="str">
        <f>IFERROR(INDEX(Players!$D$4:$D$503,MATCH(217,Players!$K$4:$K$503,0)),"")</f>
        <v/>
      </c>
      <c r="D220" s="7" t="str">
        <f>IFERROR(INDEX(Players!$E$4:$E$503,MATCH(217,Players!$K$4:$K$503,0)),"")</f>
        <v/>
      </c>
      <c r="E220" s="1" t="str">
        <f>IFERROR(INDEX(Players!$G$4:$G$503,MATCH(217,Players!$K$4:$K$503,0)),"")</f>
        <v/>
      </c>
      <c r="F220" s="7" t="str">
        <f>IFERROR(INDEX(Players!$H$4:$H$503,MATCH(217,Players!$K$4:$K$503,0)),"")</f>
        <v/>
      </c>
      <c r="G220" s="1" t="str">
        <f>IFERROR(INDEX(Players!$I$4:$I$503,MATCH(217,Players!$K$4:$K$503,0)),"")</f>
        <v/>
      </c>
    </row>
    <row r="221" spans="1:7">
      <c r="A221" s="1" t="str">
        <f>IFERROR(INDEX(Players!$B$4:$B$503,MATCH(218,Players!$K$4:$K$503,0)),"")</f>
        <v/>
      </c>
      <c r="B221" s="1" t="str">
        <f>IFERROR(INDEX(Players!$C$4:$C$503,MATCH(218,Players!$K$4:$K$503,0)),"")</f>
        <v/>
      </c>
      <c r="C221" s="1" t="str">
        <f>IFERROR(INDEX(Players!$D$4:$D$503,MATCH(218,Players!$K$4:$K$503,0)),"")</f>
        <v/>
      </c>
      <c r="D221" s="7" t="str">
        <f>IFERROR(INDEX(Players!$E$4:$E$503,MATCH(218,Players!$K$4:$K$503,0)),"")</f>
        <v/>
      </c>
      <c r="E221" s="1" t="str">
        <f>IFERROR(INDEX(Players!$G$4:$G$503,MATCH(218,Players!$K$4:$K$503,0)),"")</f>
        <v/>
      </c>
      <c r="F221" s="7" t="str">
        <f>IFERROR(INDEX(Players!$H$4:$H$503,MATCH(218,Players!$K$4:$K$503,0)),"")</f>
        <v/>
      </c>
      <c r="G221" s="1" t="str">
        <f>IFERROR(INDEX(Players!$I$4:$I$503,MATCH(218,Players!$K$4:$K$503,0)),"")</f>
        <v/>
      </c>
    </row>
    <row r="222" spans="1:7">
      <c r="A222" s="1" t="str">
        <f>IFERROR(INDEX(Players!$B$4:$B$503,MATCH(219,Players!$K$4:$K$503,0)),"")</f>
        <v/>
      </c>
      <c r="B222" s="1" t="str">
        <f>IFERROR(INDEX(Players!$C$4:$C$503,MATCH(219,Players!$K$4:$K$503,0)),"")</f>
        <v/>
      </c>
      <c r="C222" s="1" t="str">
        <f>IFERROR(INDEX(Players!$D$4:$D$503,MATCH(219,Players!$K$4:$K$503,0)),"")</f>
        <v/>
      </c>
      <c r="D222" s="7" t="str">
        <f>IFERROR(INDEX(Players!$E$4:$E$503,MATCH(219,Players!$K$4:$K$503,0)),"")</f>
        <v/>
      </c>
      <c r="E222" s="1" t="str">
        <f>IFERROR(INDEX(Players!$G$4:$G$503,MATCH(219,Players!$K$4:$K$503,0)),"")</f>
        <v/>
      </c>
      <c r="F222" s="7" t="str">
        <f>IFERROR(INDEX(Players!$H$4:$H$503,MATCH(219,Players!$K$4:$K$503,0)),"")</f>
        <v/>
      </c>
      <c r="G222" s="1" t="str">
        <f>IFERROR(INDEX(Players!$I$4:$I$503,MATCH(219,Players!$K$4:$K$503,0)),"")</f>
        <v/>
      </c>
    </row>
    <row r="223" spans="1:7">
      <c r="A223" s="1" t="str">
        <f>IFERROR(INDEX(Players!$B$4:$B$503,MATCH(220,Players!$K$4:$K$503,0)),"")</f>
        <v/>
      </c>
      <c r="B223" s="1" t="str">
        <f>IFERROR(INDEX(Players!$C$4:$C$503,MATCH(220,Players!$K$4:$K$503,0)),"")</f>
        <v/>
      </c>
      <c r="C223" s="1" t="str">
        <f>IFERROR(INDEX(Players!$D$4:$D$503,MATCH(220,Players!$K$4:$K$503,0)),"")</f>
        <v/>
      </c>
      <c r="D223" s="7" t="str">
        <f>IFERROR(INDEX(Players!$E$4:$E$503,MATCH(220,Players!$K$4:$K$503,0)),"")</f>
        <v/>
      </c>
      <c r="E223" s="1" t="str">
        <f>IFERROR(INDEX(Players!$G$4:$G$503,MATCH(220,Players!$K$4:$K$503,0)),"")</f>
        <v/>
      </c>
      <c r="F223" s="7" t="str">
        <f>IFERROR(INDEX(Players!$H$4:$H$503,MATCH(220,Players!$K$4:$K$503,0)),"")</f>
        <v/>
      </c>
      <c r="G223" s="1" t="str">
        <f>IFERROR(INDEX(Players!$I$4:$I$503,MATCH(220,Players!$K$4:$K$503,0)),"")</f>
        <v/>
      </c>
    </row>
    <row r="224" spans="1:7">
      <c r="A224" s="1" t="str">
        <f>IFERROR(INDEX(Players!$B$4:$B$503,MATCH(221,Players!$K$4:$K$503,0)),"")</f>
        <v/>
      </c>
      <c r="B224" s="1" t="str">
        <f>IFERROR(INDEX(Players!$C$4:$C$503,MATCH(221,Players!$K$4:$K$503,0)),"")</f>
        <v/>
      </c>
      <c r="C224" s="1" t="str">
        <f>IFERROR(INDEX(Players!$D$4:$D$503,MATCH(221,Players!$K$4:$K$503,0)),"")</f>
        <v/>
      </c>
      <c r="D224" s="7" t="str">
        <f>IFERROR(INDEX(Players!$E$4:$E$503,MATCH(221,Players!$K$4:$K$503,0)),"")</f>
        <v/>
      </c>
      <c r="E224" s="1" t="str">
        <f>IFERROR(INDEX(Players!$G$4:$G$503,MATCH(221,Players!$K$4:$K$503,0)),"")</f>
        <v/>
      </c>
      <c r="F224" s="7" t="str">
        <f>IFERROR(INDEX(Players!$H$4:$H$503,MATCH(221,Players!$K$4:$K$503,0)),"")</f>
        <v/>
      </c>
      <c r="G224" s="1" t="str">
        <f>IFERROR(INDEX(Players!$I$4:$I$503,MATCH(221,Players!$K$4:$K$503,0)),"")</f>
        <v/>
      </c>
    </row>
    <row r="225" spans="1:7">
      <c r="A225" s="1" t="str">
        <f>IFERROR(INDEX(Players!$B$4:$B$503,MATCH(222,Players!$K$4:$K$503,0)),"")</f>
        <v/>
      </c>
      <c r="B225" s="1" t="str">
        <f>IFERROR(INDEX(Players!$C$4:$C$503,MATCH(222,Players!$K$4:$K$503,0)),"")</f>
        <v/>
      </c>
      <c r="C225" s="1" t="str">
        <f>IFERROR(INDEX(Players!$D$4:$D$503,MATCH(222,Players!$K$4:$K$503,0)),"")</f>
        <v/>
      </c>
      <c r="D225" s="7" t="str">
        <f>IFERROR(INDEX(Players!$E$4:$E$503,MATCH(222,Players!$K$4:$K$503,0)),"")</f>
        <v/>
      </c>
      <c r="E225" s="1" t="str">
        <f>IFERROR(INDEX(Players!$G$4:$G$503,MATCH(222,Players!$K$4:$K$503,0)),"")</f>
        <v/>
      </c>
      <c r="F225" s="7" t="str">
        <f>IFERROR(INDEX(Players!$H$4:$H$503,MATCH(222,Players!$K$4:$K$503,0)),"")</f>
        <v/>
      </c>
      <c r="G225" s="1" t="str">
        <f>IFERROR(INDEX(Players!$I$4:$I$503,MATCH(222,Players!$K$4:$K$503,0)),"")</f>
        <v/>
      </c>
    </row>
    <row r="226" spans="1:7">
      <c r="A226" s="1" t="str">
        <f>IFERROR(INDEX(Players!$B$4:$B$503,MATCH(223,Players!$K$4:$K$503,0)),"")</f>
        <v/>
      </c>
      <c r="B226" s="1" t="str">
        <f>IFERROR(INDEX(Players!$C$4:$C$503,MATCH(223,Players!$K$4:$K$503,0)),"")</f>
        <v/>
      </c>
      <c r="C226" s="1" t="str">
        <f>IFERROR(INDEX(Players!$D$4:$D$503,MATCH(223,Players!$K$4:$K$503,0)),"")</f>
        <v/>
      </c>
      <c r="D226" s="7" t="str">
        <f>IFERROR(INDEX(Players!$E$4:$E$503,MATCH(223,Players!$K$4:$K$503,0)),"")</f>
        <v/>
      </c>
      <c r="E226" s="1" t="str">
        <f>IFERROR(INDEX(Players!$G$4:$G$503,MATCH(223,Players!$K$4:$K$503,0)),"")</f>
        <v/>
      </c>
      <c r="F226" s="7" t="str">
        <f>IFERROR(INDEX(Players!$H$4:$H$503,MATCH(223,Players!$K$4:$K$503,0)),"")</f>
        <v/>
      </c>
      <c r="G226" s="1" t="str">
        <f>IFERROR(INDEX(Players!$I$4:$I$503,MATCH(223,Players!$K$4:$K$503,0)),"")</f>
        <v/>
      </c>
    </row>
    <row r="227" spans="1:7">
      <c r="A227" s="1" t="str">
        <f>IFERROR(INDEX(Players!$B$4:$B$503,MATCH(224,Players!$K$4:$K$503,0)),"")</f>
        <v/>
      </c>
      <c r="B227" s="1" t="str">
        <f>IFERROR(INDEX(Players!$C$4:$C$503,MATCH(224,Players!$K$4:$K$503,0)),"")</f>
        <v/>
      </c>
      <c r="C227" s="1" t="str">
        <f>IFERROR(INDEX(Players!$D$4:$D$503,MATCH(224,Players!$K$4:$K$503,0)),"")</f>
        <v/>
      </c>
      <c r="D227" s="7" t="str">
        <f>IFERROR(INDEX(Players!$E$4:$E$503,MATCH(224,Players!$K$4:$K$503,0)),"")</f>
        <v/>
      </c>
      <c r="E227" s="1" t="str">
        <f>IFERROR(INDEX(Players!$G$4:$G$503,MATCH(224,Players!$K$4:$K$503,0)),"")</f>
        <v/>
      </c>
      <c r="F227" s="7" t="str">
        <f>IFERROR(INDEX(Players!$H$4:$H$503,MATCH(224,Players!$K$4:$K$503,0)),"")</f>
        <v/>
      </c>
      <c r="G227" s="1" t="str">
        <f>IFERROR(INDEX(Players!$I$4:$I$503,MATCH(224,Players!$K$4:$K$503,0)),"")</f>
        <v/>
      </c>
    </row>
    <row r="228" spans="1:7">
      <c r="A228" s="1" t="str">
        <f>IFERROR(INDEX(Players!$B$4:$B$503,MATCH(225,Players!$K$4:$K$503,0)),"")</f>
        <v/>
      </c>
      <c r="B228" s="1" t="str">
        <f>IFERROR(INDEX(Players!$C$4:$C$503,MATCH(225,Players!$K$4:$K$503,0)),"")</f>
        <v/>
      </c>
      <c r="C228" s="1" t="str">
        <f>IFERROR(INDEX(Players!$D$4:$D$503,MATCH(225,Players!$K$4:$K$503,0)),"")</f>
        <v/>
      </c>
      <c r="D228" s="7" t="str">
        <f>IFERROR(INDEX(Players!$E$4:$E$503,MATCH(225,Players!$K$4:$K$503,0)),"")</f>
        <v/>
      </c>
      <c r="E228" s="1" t="str">
        <f>IFERROR(INDEX(Players!$G$4:$G$503,MATCH(225,Players!$K$4:$K$503,0)),"")</f>
        <v/>
      </c>
      <c r="F228" s="7" t="str">
        <f>IFERROR(INDEX(Players!$H$4:$H$503,MATCH(225,Players!$K$4:$K$503,0)),"")</f>
        <v/>
      </c>
      <c r="G228" s="1" t="str">
        <f>IFERROR(INDEX(Players!$I$4:$I$503,MATCH(225,Players!$K$4:$K$503,0)),"")</f>
        <v/>
      </c>
    </row>
    <row r="229" spans="1:7">
      <c r="A229" s="1" t="str">
        <f>IFERROR(INDEX(Players!$B$4:$B$503,MATCH(226,Players!$K$4:$K$503,0)),"")</f>
        <v/>
      </c>
      <c r="B229" s="1" t="str">
        <f>IFERROR(INDEX(Players!$C$4:$C$503,MATCH(226,Players!$K$4:$K$503,0)),"")</f>
        <v/>
      </c>
      <c r="C229" s="1" t="str">
        <f>IFERROR(INDEX(Players!$D$4:$D$503,MATCH(226,Players!$K$4:$K$503,0)),"")</f>
        <v/>
      </c>
      <c r="D229" s="7" t="str">
        <f>IFERROR(INDEX(Players!$E$4:$E$503,MATCH(226,Players!$K$4:$K$503,0)),"")</f>
        <v/>
      </c>
      <c r="E229" s="1" t="str">
        <f>IFERROR(INDEX(Players!$G$4:$G$503,MATCH(226,Players!$K$4:$K$503,0)),"")</f>
        <v/>
      </c>
      <c r="F229" s="7" t="str">
        <f>IFERROR(INDEX(Players!$H$4:$H$503,MATCH(226,Players!$K$4:$K$503,0)),"")</f>
        <v/>
      </c>
      <c r="G229" s="1" t="str">
        <f>IFERROR(INDEX(Players!$I$4:$I$503,MATCH(226,Players!$K$4:$K$503,0)),"")</f>
        <v/>
      </c>
    </row>
    <row r="230" spans="1:7">
      <c r="A230" s="1" t="str">
        <f>IFERROR(INDEX(Players!$B$4:$B$503,MATCH(227,Players!$K$4:$K$503,0)),"")</f>
        <v/>
      </c>
      <c r="B230" s="1" t="str">
        <f>IFERROR(INDEX(Players!$C$4:$C$503,MATCH(227,Players!$K$4:$K$503,0)),"")</f>
        <v/>
      </c>
      <c r="C230" s="1" t="str">
        <f>IFERROR(INDEX(Players!$D$4:$D$503,MATCH(227,Players!$K$4:$K$503,0)),"")</f>
        <v/>
      </c>
      <c r="D230" s="7" t="str">
        <f>IFERROR(INDEX(Players!$E$4:$E$503,MATCH(227,Players!$K$4:$K$503,0)),"")</f>
        <v/>
      </c>
      <c r="E230" s="1" t="str">
        <f>IFERROR(INDEX(Players!$G$4:$G$503,MATCH(227,Players!$K$4:$K$503,0)),"")</f>
        <v/>
      </c>
      <c r="F230" s="7" t="str">
        <f>IFERROR(INDEX(Players!$H$4:$H$503,MATCH(227,Players!$K$4:$K$503,0)),"")</f>
        <v/>
      </c>
      <c r="G230" s="1" t="str">
        <f>IFERROR(INDEX(Players!$I$4:$I$503,MATCH(227,Players!$K$4:$K$503,0)),"")</f>
        <v/>
      </c>
    </row>
    <row r="231" spans="1:7">
      <c r="A231" s="1" t="str">
        <f>IFERROR(INDEX(Players!$B$4:$B$503,MATCH(228,Players!$K$4:$K$503,0)),"")</f>
        <v/>
      </c>
      <c r="B231" s="1" t="str">
        <f>IFERROR(INDEX(Players!$C$4:$C$503,MATCH(228,Players!$K$4:$K$503,0)),"")</f>
        <v/>
      </c>
      <c r="C231" s="1" t="str">
        <f>IFERROR(INDEX(Players!$D$4:$D$503,MATCH(228,Players!$K$4:$K$503,0)),"")</f>
        <v/>
      </c>
      <c r="D231" s="7" t="str">
        <f>IFERROR(INDEX(Players!$E$4:$E$503,MATCH(228,Players!$K$4:$K$503,0)),"")</f>
        <v/>
      </c>
      <c r="E231" s="1" t="str">
        <f>IFERROR(INDEX(Players!$G$4:$G$503,MATCH(228,Players!$K$4:$K$503,0)),"")</f>
        <v/>
      </c>
      <c r="F231" s="7" t="str">
        <f>IFERROR(INDEX(Players!$H$4:$H$503,MATCH(228,Players!$K$4:$K$503,0)),"")</f>
        <v/>
      </c>
      <c r="G231" s="1" t="str">
        <f>IFERROR(INDEX(Players!$I$4:$I$503,MATCH(228,Players!$K$4:$K$503,0)),"")</f>
        <v/>
      </c>
    </row>
    <row r="232" spans="1:7">
      <c r="A232" s="1" t="str">
        <f>IFERROR(INDEX(Players!$B$4:$B$503,MATCH(229,Players!$K$4:$K$503,0)),"")</f>
        <v/>
      </c>
      <c r="B232" s="1" t="str">
        <f>IFERROR(INDEX(Players!$C$4:$C$503,MATCH(229,Players!$K$4:$K$503,0)),"")</f>
        <v/>
      </c>
      <c r="C232" s="1" t="str">
        <f>IFERROR(INDEX(Players!$D$4:$D$503,MATCH(229,Players!$K$4:$K$503,0)),"")</f>
        <v/>
      </c>
      <c r="D232" s="7" t="str">
        <f>IFERROR(INDEX(Players!$E$4:$E$503,MATCH(229,Players!$K$4:$K$503,0)),"")</f>
        <v/>
      </c>
      <c r="E232" s="1" t="str">
        <f>IFERROR(INDEX(Players!$G$4:$G$503,MATCH(229,Players!$K$4:$K$503,0)),"")</f>
        <v/>
      </c>
      <c r="F232" s="7" t="str">
        <f>IFERROR(INDEX(Players!$H$4:$H$503,MATCH(229,Players!$K$4:$K$503,0)),"")</f>
        <v/>
      </c>
      <c r="G232" s="1" t="str">
        <f>IFERROR(INDEX(Players!$I$4:$I$503,MATCH(229,Players!$K$4:$K$503,0)),"")</f>
        <v/>
      </c>
    </row>
    <row r="233" spans="1:7">
      <c r="A233" s="1" t="str">
        <f>IFERROR(INDEX(Players!$B$4:$B$503,MATCH(230,Players!$K$4:$K$503,0)),"")</f>
        <v/>
      </c>
      <c r="B233" s="1" t="str">
        <f>IFERROR(INDEX(Players!$C$4:$C$503,MATCH(230,Players!$K$4:$K$503,0)),"")</f>
        <v/>
      </c>
      <c r="C233" s="1" t="str">
        <f>IFERROR(INDEX(Players!$D$4:$D$503,MATCH(230,Players!$K$4:$K$503,0)),"")</f>
        <v/>
      </c>
      <c r="D233" s="7" t="str">
        <f>IFERROR(INDEX(Players!$E$4:$E$503,MATCH(230,Players!$K$4:$K$503,0)),"")</f>
        <v/>
      </c>
      <c r="E233" s="1" t="str">
        <f>IFERROR(INDEX(Players!$G$4:$G$503,MATCH(230,Players!$K$4:$K$503,0)),"")</f>
        <v/>
      </c>
      <c r="F233" s="7" t="str">
        <f>IFERROR(INDEX(Players!$H$4:$H$503,MATCH(230,Players!$K$4:$K$503,0)),"")</f>
        <v/>
      </c>
      <c r="G233" s="1" t="str">
        <f>IFERROR(INDEX(Players!$I$4:$I$503,MATCH(230,Players!$K$4:$K$503,0)),"")</f>
        <v/>
      </c>
    </row>
    <row r="234" spans="1:7">
      <c r="A234" s="1" t="str">
        <f>IFERROR(INDEX(Players!$B$4:$B$503,MATCH(231,Players!$K$4:$K$503,0)),"")</f>
        <v/>
      </c>
      <c r="B234" s="1" t="str">
        <f>IFERROR(INDEX(Players!$C$4:$C$503,MATCH(231,Players!$K$4:$K$503,0)),"")</f>
        <v/>
      </c>
      <c r="C234" s="1" t="str">
        <f>IFERROR(INDEX(Players!$D$4:$D$503,MATCH(231,Players!$K$4:$K$503,0)),"")</f>
        <v/>
      </c>
      <c r="D234" s="7" t="str">
        <f>IFERROR(INDEX(Players!$E$4:$E$503,MATCH(231,Players!$K$4:$K$503,0)),"")</f>
        <v/>
      </c>
      <c r="E234" s="1" t="str">
        <f>IFERROR(INDEX(Players!$G$4:$G$503,MATCH(231,Players!$K$4:$K$503,0)),"")</f>
        <v/>
      </c>
      <c r="F234" s="7" t="str">
        <f>IFERROR(INDEX(Players!$H$4:$H$503,MATCH(231,Players!$K$4:$K$503,0)),"")</f>
        <v/>
      </c>
      <c r="G234" s="1" t="str">
        <f>IFERROR(INDEX(Players!$I$4:$I$503,MATCH(231,Players!$K$4:$K$503,0)),"")</f>
        <v/>
      </c>
    </row>
    <row r="235" spans="1:7">
      <c r="A235" s="1" t="str">
        <f>IFERROR(INDEX(Players!$B$4:$B$503,MATCH(232,Players!$K$4:$K$503,0)),"")</f>
        <v/>
      </c>
      <c r="B235" s="1" t="str">
        <f>IFERROR(INDEX(Players!$C$4:$C$503,MATCH(232,Players!$K$4:$K$503,0)),"")</f>
        <v/>
      </c>
      <c r="C235" s="1" t="str">
        <f>IFERROR(INDEX(Players!$D$4:$D$503,MATCH(232,Players!$K$4:$K$503,0)),"")</f>
        <v/>
      </c>
      <c r="D235" s="7" t="str">
        <f>IFERROR(INDEX(Players!$E$4:$E$503,MATCH(232,Players!$K$4:$K$503,0)),"")</f>
        <v/>
      </c>
      <c r="E235" s="1" t="str">
        <f>IFERROR(INDEX(Players!$G$4:$G$503,MATCH(232,Players!$K$4:$K$503,0)),"")</f>
        <v/>
      </c>
      <c r="F235" s="7" t="str">
        <f>IFERROR(INDEX(Players!$H$4:$H$503,MATCH(232,Players!$K$4:$K$503,0)),"")</f>
        <v/>
      </c>
      <c r="G235" s="1" t="str">
        <f>IFERROR(INDEX(Players!$I$4:$I$503,MATCH(232,Players!$K$4:$K$503,0)),"")</f>
        <v/>
      </c>
    </row>
    <row r="236" spans="1:7">
      <c r="A236" s="1" t="str">
        <f>IFERROR(INDEX(Players!$B$4:$B$503,MATCH(233,Players!$K$4:$K$503,0)),"")</f>
        <v/>
      </c>
      <c r="B236" s="1" t="str">
        <f>IFERROR(INDEX(Players!$C$4:$C$503,MATCH(233,Players!$K$4:$K$503,0)),"")</f>
        <v/>
      </c>
      <c r="C236" s="1" t="str">
        <f>IFERROR(INDEX(Players!$D$4:$D$503,MATCH(233,Players!$K$4:$K$503,0)),"")</f>
        <v/>
      </c>
      <c r="D236" s="7" t="str">
        <f>IFERROR(INDEX(Players!$E$4:$E$503,MATCH(233,Players!$K$4:$K$503,0)),"")</f>
        <v/>
      </c>
      <c r="E236" s="1" t="str">
        <f>IFERROR(INDEX(Players!$G$4:$G$503,MATCH(233,Players!$K$4:$K$503,0)),"")</f>
        <v/>
      </c>
      <c r="F236" s="7" t="str">
        <f>IFERROR(INDEX(Players!$H$4:$H$503,MATCH(233,Players!$K$4:$K$503,0)),"")</f>
        <v/>
      </c>
      <c r="G236" s="1" t="str">
        <f>IFERROR(INDEX(Players!$I$4:$I$503,MATCH(233,Players!$K$4:$K$503,0)),"")</f>
        <v/>
      </c>
    </row>
    <row r="237" spans="1:7">
      <c r="A237" s="1" t="str">
        <f>IFERROR(INDEX(Players!$B$4:$B$503,MATCH(234,Players!$K$4:$K$503,0)),"")</f>
        <v/>
      </c>
      <c r="B237" s="1" t="str">
        <f>IFERROR(INDEX(Players!$C$4:$C$503,MATCH(234,Players!$K$4:$K$503,0)),"")</f>
        <v/>
      </c>
      <c r="C237" s="1" t="str">
        <f>IFERROR(INDEX(Players!$D$4:$D$503,MATCH(234,Players!$K$4:$K$503,0)),"")</f>
        <v/>
      </c>
      <c r="D237" s="7" t="str">
        <f>IFERROR(INDEX(Players!$E$4:$E$503,MATCH(234,Players!$K$4:$K$503,0)),"")</f>
        <v/>
      </c>
      <c r="E237" s="1" t="str">
        <f>IFERROR(INDEX(Players!$G$4:$G$503,MATCH(234,Players!$K$4:$K$503,0)),"")</f>
        <v/>
      </c>
      <c r="F237" s="7" t="str">
        <f>IFERROR(INDEX(Players!$H$4:$H$503,MATCH(234,Players!$K$4:$K$503,0)),"")</f>
        <v/>
      </c>
      <c r="G237" s="1" t="str">
        <f>IFERROR(INDEX(Players!$I$4:$I$503,MATCH(234,Players!$K$4:$K$503,0)),"")</f>
        <v/>
      </c>
    </row>
    <row r="238" spans="1:7">
      <c r="A238" s="1" t="str">
        <f>IFERROR(INDEX(Players!$B$4:$B$503,MATCH(235,Players!$K$4:$K$503,0)),"")</f>
        <v/>
      </c>
      <c r="B238" s="1" t="str">
        <f>IFERROR(INDEX(Players!$C$4:$C$503,MATCH(235,Players!$K$4:$K$503,0)),"")</f>
        <v/>
      </c>
      <c r="C238" s="1" t="str">
        <f>IFERROR(INDEX(Players!$D$4:$D$503,MATCH(235,Players!$K$4:$K$503,0)),"")</f>
        <v/>
      </c>
      <c r="D238" s="7" t="str">
        <f>IFERROR(INDEX(Players!$E$4:$E$503,MATCH(235,Players!$K$4:$K$503,0)),"")</f>
        <v/>
      </c>
      <c r="E238" s="1" t="str">
        <f>IFERROR(INDEX(Players!$G$4:$G$503,MATCH(235,Players!$K$4:$K$503,0)),"")</f>
        <v/>
      </c>
      <c r="F238" s="7" t="str">
        <f>IFERROR(INDEX(Players!$H$4:$H$503,MATCH(235,Players!$K$4:$K$503,0)),"")</f>
        <v/>
      </c>
      <c r="G238" s="1" t="str">
        <f>IFERROR(INDEX(Players!$I$4:$I$503,MATCH(235,Players!$K$4:$K$503,0)),"")</f>
        <v/>
      </c>
    </row>
    <row r="239" spans="1:7">
      <c r="A239" s="1" t="str">
        <f>IFERROR(INDEX(Players!$B$4:$B$503,MATCH(236,Players!$K$4:$K$503,0)),"")</f>
        <v/>
      </c>
      <c r="B239" s="1" t="str">
        <f>IFERROR(INDEX(Players!$C$4:$C$503,MATCH(236,Players!$K$4:$K$503,0)),"")</f>
        <v/>
      </c>
      <c r="C239" s="1" t="str">
        <f>IFERROR(INDEX(Players!$D$4:$D$503,MATCH(236,Players!$K$4:$K$503,0)),"")</f>
        <v/>
      </c>
      <c r="D239" s="7" t="str">
        <f>IFERROR(INDEX(Players!$E$4:$E$503,MATCH(236,Players!$K$4:$K$503,0)),"")</f>
        <v/>
      </c>
      <c r="E239" s="1" t="str">
        <f>IFERROR(INDEX(Players!$G$4:$G$503,MATCH(236,Players!$K$4:$K$503,0)),"")</f>
        <v/>
      </c>
      <c r="F239" s="7" t="str">
        <f>IFERROR(INDEX(Players!$H$4:$H$503,MATCH(236,Players!$K$4:$K$503,0)),"")</f>
        <v/>
      </c>
      <c r="G239" s="1" t="str">
        <f>IFERROR(INDEX(Players!$I$4:$I$503,MATCH(236,Players!$K$4:$K$503,0)),"")</f>
        <v/>
      </c>
    </row>
    <row r="240" spans="1:7">
      <c r="A240" s="1" t="str">
        <f>IFERROR(INDEX(Players!$B$4:$B$503,MATCH(237,Players!$K$4:$K$503,0)),"")</f>
        <v/>
      </c>
      <c r="B240" s="1" t="str">
        <f>IFERROR(INDEX(Players!$C$4:$C$503,MATCH(237,Players!$K$4:$K$503,0)),"")</f>
        <v/>
      </c>
      <c r="C240" s="1" t="str">
        <f>IFERROR(INDEX(Players!$D$4:$D$503,MATCH(237,Players!$K$4:$K$503,0)),"")</f>
        <v/>
      </c>
      <c r="D240" s="7" t="str">
        <f>IFERROR(INDEX(Players!$E$4:$E$503,MATCH(237,Players!$K$4:$K$503,0)),"")</f>
        <v/>
      </c>
      <c r="E240" s="1" t="str">
        <f>IFERROR(INDEX(Players!$G$4:$G$503,MATCH(237,Players!$K$4:$K$503,0)),"")</f>
        <v/>
      </c>
      <c r="F240" s="7" t="str">
        <f>IFERROR(INDEX(Players!$H$4:$H$503,MATCH(237,Players!$K$4:$K$503,0)),"")</f>
        <v/>
      </c>
      <c r="G240" s="1" t="str">
        <f>IFERROR(INDEX(Players!$I$4:$I$503,MATCH(237,Players!$K$4:$K$503,0)),"")</f>
        <v/>
      </c>
    </row>
    <row r="241" spans="1:7">
      <c r="A241" s="1" t="str">
        <f>IFERROR(INDEX(Players!$B$4:$B$503,MATCH(238,Players!$K$4:$K$503,0)),"")</f>
        <v/>
      </c>
      <c r="B241" s="1" t="str">
        <f>IFERROR(INDEX(Players!$C$4:$C$503,MATCH(238,Players!$K$4:$K$503,0)),"")</f>
        <v/>
      </c>
      <c r="C241" s="1" t="str">
        <f>IFERROR(INDEX(Players!$D$4:$D$503,MATCH(238,Players!$K$4:$K$503,0)),"")</f>
        <v/>
      </c>
      <c r="D241" s="7" t="str">
        <f>IFERROR(INDEX(Players!$E$4:$E$503,MATCH(238,Players!$K$4:$K$503,0)),"")</f>
        <v/>
      </c>
      <c r="E241" s="1" t="str">
        <f>IFERROR(INDEX(Players!$G$4:$G$503,MATCH(238,Players!$K$4:$K$503,0)),"")</f>
        <v/>
      </c>
      <c r="F241" s="7" t="str">
        <f>IFERROR(INDEX(Players!$H$4:$H$503,MATCH(238,Players!$K$4:$K$503,0)),"")</f>
        <v/>
      </c>
      <c r="G241" s="1" t="str">
        <f>IFERROR(INDEX(Players!$I$4:$I$503,MATCH(238,Players!$K$4:$K$503,0)),"")</f>
        <v/>
      </c>
    </row>
    <row r="242" spans="1:7">
      <c r="A242" s="1" t="str">
        <f>IFERROR(INDEX(Players!$B$4:$B$503,MATCH(239,Players!$K$4:$K$503,0)),"")</f>
        <v/>
      </c>
      <c r="B242" s="1" t="str">
        <f>IFERROR(INDEX(Players!$C$4:$C$503,MATCH(239,Players!$K$4:$K$503,0)),"")</f>
        <v/>
      </c>
      <c r="C242" s="1" t="str">
        <f>IFERROR(INDEX(Players!$D$4:$D$503,MATCH(239,Players!$K$4:$K$503,0)),"")</f>
        <v/>
      </c>
      <c r="D242" s="7" t="str">
        <f>IFERROR(INDEX(Players!$E$4:$E$503,MATCH(239,Players!$K$4:$K$503,0)),"")</f>
        <v/>
      </c>
      <c r="E242" s="1" t="str">
        <f>IFERROR(INDEX(Players!$G$4:$G$503,MATCH(239,Players!$K$4:$K$503,0)),"")</f>
        <v/>
      </c>
      <c r="F242" s="7" t="str">
        <f>IFERROR(INDEX(Players!$H$4:$H$503,MATCH(239,Players!$K$4:$K$503,0)),"")</f>
        <v/>
      </c>
      <c r="G242" s="1" t="str">
        <f>IFERROR(INDEX(Players!$I$4:$I$503,MATCH(239,Players!$K$4:$K$503,0)),"")</f>
        <v/>
      </c>
    </row>
    <row r="243" spans="1:7">
      <c r="A243" s="1" t="str">
        <f>IFERROR(INDEX(Players!$B$4:$B$503,MATCH(240,Players!$K$4:$K$503,0)),"")</f>
        <v/>
      </c>
      <c r="B243" s="1" t="str">
        <f>IFERROR(INDEX(Players!$C$4:$C$503,MATCH(240,Players!$K$4:$K$503,0)),"")</f>
        <v/>
      </c>
      <c r="C243" s="1" t="str">
        <f>IFERROR(INDEX(Players!$D$4:$D$503,MATCH(240,Players!$K$4:$K$503,0)),"")</f>
        <v/>
      </c>
      <c r="D243" s="7" t="str">
        <f>IFERROR(INDEX(Players!$E$4:$E$503,MATCH(240,Players!$K$4:$K$503,0)),"")</f>
        <v/>
      </c>
      <c r="E243" s="1" t="str">
        <f>IFERROR(INDEX(Players!$G$4:$G$503,MATCH(240,Players!$K$4:$K$503,0)),"")</f>
        <v/>
      </c>
      <c r="F243" s="7" t="str">
        <f>IFERROR(INDEX(Players!$H$4:$H$503,MATCH(240,Players!$K$4:$K$503,0)),"")</f>
        <v/>
      </c>
      <c r="G243" s="1" t="str">
        <f>IFERROR(INDEX(Players!$I$4:$I$503,MATCH(240,Players!$K$4:$K$503,0)),"")</f>
        <v/>
      </c>
    </row>
    <row r="244" spans="1:7">
      <c r="A244" s="1" t="str">
        <f>IFERROR(INDEX(Players!$B$4:$B$503,MATCH(241,Players!$K$4:$K$503,0)),"")</f>
        <v/>
      </c>
      <c r="B244" s="1" t="str">
        <f>IFERROR(INDEX(Players!$C$4:$C$503,MATCH(241,Players!$K$4:$K$503,0)),"")</f>
        <v/>
      </c>
      <c r="C244" s="1" t="str">
        <f>IFERROR(INDEX(Players!$D$4:$D$503,MATCH(241,Players!$K$4:$K$503,0)),"")</f>
        <v/>
      </c>
      <c r="D244" s="7" t="str">
        <f>IFERROR(INDEX(Players!$E$4:$E$503,MATCH(241,Players!$K$4:$K$503,0)),"")</f>
        <v/>
      </c>
      <c r="E244" s="1" t="str">
        <f>IFERROR(INDEX(Players!$G$4:$G$503,MATCH(241,Players!$K$4:$K$503,0)),"")</f>
        <v/>
      </c>
      <c r="F244" s="7" t="str">
        <f>IFERROR(INDEX(Players!$H$4:$H$503,MATCH(241,Players!$K$4:$K$503,0)),"")</f>
        <v/>
      </c>
      <c r="G244" s="1" t="str">
        <f>IFERROR(INDEX(Players!$I$4:$I$503,MATCH(241,Players!$K$4:$K$503,0)),"")</f>
        <v/>
      </c>
    </row>
    <row r="245" spans="1:7">
      <c r="A245" s="1" t="str">
        <f>IFERROR(INDEX(Players!$B$4:$B$503,MATCH(242,Players!$K$4:$K$503,0)),"")</f>
        <v/>
      </c>
      <c r="B245" s="1" t="str">
        <f>IFERROR(INDEX(Players!$C$4:$C$503,MATCH(242,Players!$K$4:$K$503,0)),"")</f>
        <v/>
      </c>
      <c r="C245" s="1" t="str">
        <f>IFERROR(INDEX(Players!$D$4:$D$503,MATCH(242,Players!$K$4:$K$503,0)),"")</f>
        <v/>
      </c>
      <c r="D245" s="7" t="str">
        <f>IFERROR(INDEX(Players!$E$4:$E$503,MATCH(242,Players!$K$4:$K$503,0)),"")</f>
        <v/>
      </c>
      <c r="E245" s="1" t="str">
        <f>IFERROR(INDEX(Players!$G$4:$G$503,MATCH(242,Players!$K$4:$K$503,0)),"")</f>
        <v/>
      </c>
      <c r="F245" s="7" t="str">
        <f>IFERROR(INDEX(Players!$H$4:$H$503,MATCH(242,Players!$K$4:$K$503,0)),"")</f>
        <v/>
      </c>
      <c r="G245" s="1" t="str">
        <f>IFERROR(INDEX(Players!$I$4:$I$503,MATCH(242,Players!$K$4:$K$503,0)),"")</f>
        <v/>
      </c>
    </row>
    <row r="246" spans="1:7">
      <c r="A246" s="1" t="str">
        <f>IFERROR(INDEX(Players!$B$4:$B$503,MATCH(243,Players!$K$4:$K$503,0)),"")</f>
        <v/>
      </c>
      <c r="B246" s="1" t="str">
        <f>IFERROR(INDEX(Players!$C$4:$C$503,MATCH(243,Players!$K$4:$K$503,0)),"")</f>
        <v/>
      </c>
      <c r="C246" s="1" t="str">
        <f>IFERROR(INDEX(Players!$D$4:$D$503,MATCH(243,Players!$K$4:$K$503,0)),"")</f>
        <v/>
      </c>
      <c r="D246" s="7" t="str">
        <f>IFERROR(INDEX(Players!$E$4:$E$503,MATCH(243,Players!$K$4:$K$503,0)),"")</f>
        <v/>
      </c>
      <c r="E246" s="1" t="str">
        <f>IFERROR(INDEX(Players!$G$4:$G$503,MATCH(243,Players!$K$4:$K$503,0)),"")</f>
        <v/>
      </c>
      <c r="F246" s="7" t="str">
        <f>IFERROR(INDEX(Players!$H$4:$H$503,MATCH(243,Players!$K$4:$K$503,0)),"")</f>
        <v/>
      </c>
      <c r="G246" s="1" t="str">
        <f>IFERROR(INDEX(Players!$I$4:$I$503,MATCH(243,Players!$K$4:$K$503,0)),"")</f>
        <v/>
      </c>
    </row>
    <row r="247" spans="1:7">
      <c r="A247" s="1" t="str">
        <f>IFERROR(INDEX(Players!$B$4:$B$503,MATCH(244,Players!$K$4:$K$503,0)),"")</f>
        <v/>
      </c>
      <c r="B247" s="1" t="str">
        <f>IFERROR(INDEX(Players!$C$4:$C$503,MATCH(244,Players!$K$4:$K$503,0)),"")</f>
        <v/>
      </c>
      <c r="C247" s="1" t="str">
        <f>IFERROR(INDEX(Players!$D$4:$D$503,MATCH(244,Players!$K$4:$K$503,0)),"")</f>
        <v/>
      </c>
      <c r="D247" s="7" t="str">
        <f>IFERROR(INDEX(Players!$E$4:$E$503,MATCH(244,Players!$K$4:$K$503,0)),"")</f>
        <v/>
      </c>
      <c r="E247" s="1" t="str">
        <f>IFERROR(INDEX(Players!$G$4:$G$503,MATCH(244,Players!$K$4:$K$503,0)),"")</f>
        <v/>
      </c>
      <c r="F247" s="7" t="str">
        <f>IFERROR(INDEX(Players!$H$4:$H$503,MATCH(244,Players!$K$4:$K$503,0)),"")</f>
        <v/>
      </c>
      <c r="G247" s="1" t="str">
        <f>IFERROR(INDEX(Players!$I$4:$I$503,MATCH(244,Players!$K$4:$K$503,0)),"")</f>
        <v/>
      </c>
    </row>
    <row r="248" spans="1:7">
      <c r="A248" s="1" t="str">
        <f>IFERROR(INDEX(Players!$B$4:$B$503,MATCH(245,Players!$K$4:$K$503,0)),"")</f>
        <v/>
      </c>
      <c r="B248" s="1" t="str">
        <f>IFERROR(INDEX(Players!$C$4:$C$503,MATCH(245,Players!$K$4:$K$503,0)),"")</f>
        <v/>
      </c>
      <c r="C248" s="1" t="str">
        <f>IFERROR(INDEX(Players!$D$4:$D$503,MATCH(245,Players!$K$4:$K$503,0)),"")</f>
        <v/>
      </c>
      <c r="D248" s="7" t="str">
        <f>IFERROR(INDEX(Players!$E$4:$E$503,MATCH(245,Players!$K$4:$K$503,0)),"")</f>
        <v/>
      </c>
      <c r="E248" s="1" t="str">
        <f>IFERROR(INDEX(Players!$G$4:$G$503,MATCH(245,Players!$K$4:$K$503,0)),"")</f>
        <v/>
      </c>
      <c r="F248" s="7" t="str">
        <f>IFERROR(INDEX(Players!$H$4:$H$503,MATCH(245,Players!$K$4:$K$503,0)),"")</f>
        <v/>
      </c>
      <c r="G248" s="1" t="str">
        <f>IFERROR(INDEX(Players!$I$4:$I$503,MATCH(245,Players!$K$4:$K$503,0)),"")</f>
        <v/>
      </c>
    </row>
    <row r="249" spans="1:7">
      <c r="A249" s="1" t="str">
        <f>IFERROR(INDEX(Players!$B$4:$B$503,MATCH(246,Players!$K$4:$K$503,0)),"")</f>
        <v/>
      </c>
      <c r="B249" s="1" t="str">
        <f>IFERROR(INDEX(Players!$C$4:$C$503,MATCH(246,Players!$K$4:$K$503,0)),"")</f>
        <v/>
      </c>
      <c r="C249" s="1" t="str">
        <f>IFERROR(INDEX(Players!$D$4:$D$503,MATCH(246,Players!$K$4:$K$503,0)),"")</f>
        <v/>
      </c>
      <c r="D249" s="7" t="str">
        <f>IFERROR(INDEX(Players!$E$4:$E$503,MATCH(246,Players!$K$4:$K$503,0)),"")</f>
        <v/>
      </c>
      <c r="E249" s="1" t="str">
        <f>IFERROR(INDEX(Players!$G$4:$G$503,MATCH(246,Players!$K$4:$K$503,0)),"")</f>
        <v/>
      </c>
      <c r="F249" s="7" t="str">
        <f>IFERROR(INDEX(Players!$H$4:$H$503,MATCH(246,Players!$K$4:$K$503,0)),"")</f>
        <v/>
      </c>
      <c r="G249" s="1" t="str">
        <f>IFERROR(INDEX(Players!$I$4:$I$503,MATCH(246,Players!$K$4:$K$503,0)),"")</f>
        <v/>
      </c>
    </row>
    <row r="250" spans="1:7">
      <c r="A250" s="1" t="str">
        <f>IFERROR(INDEX(Players!$B$4:$B$503,MATCH(247,Players!$K$4:$K$503,0)),"")</f>
        <v/>
      </c>
      <c r="B250" s="1" t="str">
        <f>IFERROR(INDEX(Players!$C$4:$C$503,MATCH(247,Players!$K$4:$K$503,0)),"")</f>
        <v/>
      </c>
      <c r="C250" s="1" t="str">
        <f>IFERROR(INDEX(Players!$D$4:$D$503,MATCH(247,Players!$K$4:$K$503,0)),"")</f>
        <v/>
      </c>
      <c r="D250" s="7" t="str">
        <f>IFERROR(INDEX(Players!$E$4:$E$503,MATCH(247,Players!$K$4:$K$503,0)),"")</f>
        <v/>
      </c>
      <c r="E250" s="1" t="str">
        <f>IFERROR(INDEX(Players!$G$4:$G$503,MATCH(247,Players!$K$4:$K$503,0)),"")</f>
        <v/>
      </c>
      <c r="F250" s="7" t="str">
        <f>IFERROR(INDEX(Players!$H$4:$H$503,MATCH(247,Players!$K$4:$K$503,0)),"")</f>
        <v/>
      </c>
      <c r="G250" s="1" t="str">
        <f>IFERROR(INDEX(Players!$I$4:$I$503,MATCH(247,Players!$K$4:$K$503,0)),"")</f>
        <v/>
      </c>
    </row>
    <row r="251" spans="1:7">
      <c r="A251" s="1" t="str">
        <f>IFERROR(INDEX(Players!$B$4:$B$503,MATCH(248,Players!$K$4:$K$503,0)),"")</f>
        <v/>
      </c>
      <c r="B251" s="1" t="str">
        <f>IFERROR(INDEX(Players!$C$4:$C$503,MATCH(248,Players!$K$4:$K$503,0)),"")</f>
        <v/>
      </c>
      <c r="C251" s="1" t="str">
        <f>IFERROR(INDEX(Players!$D$4:$D$503,MATCH(248,Players!$K$4:$K$503,0)),"")</f>
        <v/>
      </c>
      <c r="D251" s="7" t="str">
        <f>IFERROR(INDEX(Players!$E$4:$E$503,MATCH(248,Players!$K$4:$K$503,0)),"")</f>
        <v/>
      </c>
      <c r="E251" s="1" t="str">
        <f>IFERROR(INDEX(Players!$G$4:$G$503,MATCH(248,Players!$K$4:$K$503,0)),"")</f>
        <v/>
      </c>
      <c r="F251" s="7" t="str">
        <f>IFERROR(INDEX(Players!$H$4:$H$503,MATCH(248,Players!$K$4:$K$503,0)),"")</f>
        <v/>
      </c>
      <c r="G251" s="1" t="str">
        <f>IFERROR(INDEX(Players!$I$4:$I$503,MATCH(248,Players!$K$4:$K$503,0)),"")</f>
        <v/>
      </c>
    </row>
    <row r="252" spans="1:7">
      <c r="A252" s="1" t="str">
        <f>IFERROR(INDEX(Players!$B$4:$B$503,MATCH(249,Players!$K$4:$K$503,0)),"")</f>
        <v/>
      </c>
      <c r="B252" s="1" t="str">
        <f>IFERROR(INDEX(Players!$C$4:$C$503,MATCH(249,Players!$K$4:$K$503,0)),"")</f>
        <v/>
      </c>
      <c r="C252" s="1" t="str">
        <f>IFERROR(INDEX(Players!$D$4:$D$503,MATCH(249,Players!$K$4:$K$503,0)),"")</f>
        <v/>
      </c>
      <c r="D252" s="7" t="str">
        <f>IFERROR(INDEX(Players!$E$4:$E$503,MATCH(249,Players!$K$4:$K$503,0)),"")</f>
        <v/>
      </c>
      <c r="E252" s="1" t="str">
        <f>IFERROR(INDEX(Players!$G$4:$G$503,MATCH(249,Players!$K$4:$K$503,0)),"")</f>
        <v/>
      </c>
      <c r="F252" s="7" t="str">
        <f>IFERROR(INDEX(Players!$H$4:$H$503,MATCH(249,Players!$K$4:$K$503,0)),"")</f>
        <v/>
      </c>
      <c r="G252" s="1" t="str">
        <f>IFERROR(INDEX(Players!$I$4:$I$503,MATCH(249,Players!$K$4:$K$503,0)),"")</f>
        <v/>
      </c>
    </row>
    <row r="253" spans="1:7">
      <c r="A253" s="1" t="str">
        <f>IFERROR(INDEX(Players!$B$4:$B$503,MATCH(250,Players!$K$4:$K$503,0)),"")</f>
        <v/>
      </c>
      <c r="B253" s="1" t="str">
        <f>IFERROR(INDEX(Players!$C$4:$C$503,MATCH(250,Players!$K$4:$K$503,0)),"")</f>
        <v/>
      </c>
      <c r="C253" s="1" t="str">
        <f>IFERROR(INDEX(Players!$D$4:$D$503,MATCH(250,Players!$K$4:$K$503,0)),"")</f>
        <v/>
      </c>
      <c r="D253" s="7" t="str">
        <f>IFERROR(INDEX(Players!$E$4:$E$503,MATCH(250,Players!$K$4:$K$503,0)),"")</f>
        <v/>
      </c>
      <c r="E253" s="1" t="str">
        <f>IFERROR(INDEX(Players!$G$4:$G$503,MATCH(250,Players!$K$4:$K$503,0)),"")</f>
        <v/>
      </c>
      <c r="F253" s="7" t="str">
        <f>IFERROR(INDEX(Players!$H$4:$H$503,MATCH(250,Players!$K$4:$K$503,0)),"")</f>
        <v/>
      </c>
      <c r="G253" s="1" t="str">
        <f>IFERROR(INDEX(Players!$I$4:$I$503,MATCH(250,Players!$K$4:$K$503,0)),"")</f>
        <v/>
      </c>
    </row>
    <row r="254" spans="1:7">
      <c r="A254" s="1" t="str">
        <f>IFERROR(INDEX(Players!$B$4:$B$503,MATCH(251,Players!$K$4:$K$503,0)),"")</f>
        <v/>
      </c>
      <c r="B254" s="1" t="str">
        <f>IFERROR(INDEX(Players!$C$4:$C$503,MATCH(251,Players!$K$4:$K$503,0)),"")</f>
        <v/>
      </c>
      <c r="C254" s="1" t="str">
        <f>IFERROR(INDEX(Players!$D$4:$D$503,MATCH(251,Players!$K$4:$K$503,0)),"")</f>
        <v/>
      </c>
      <c r="D254" s="7" t="str">
        <f>IFERROR(INDEX(Players!$E$4:$E$503,MATCH(251,Players!$K$4:$K$503,0)),"")</f>
        <v/>
      </c>
      <c r="E254" s="1" t="str">
        <f>IFERROR(INDEX(Players!$G$4:$G$503,MATCH(251,Players!$K$4:$K$503,0)),"")</f>
        <v/>
      </c>
      <c r="F254" s="7" t="str">
        <f>IFERROR(INDEX(Players!$H$4:$H$503,MATCH(251,Players!$K$4:$K$503,0)),"")</f>
        <v/>
      </c>
      <c r="G254" s="1" t="str">
        <f>IFERROR(INDEX(Players!$I$4:$I$503,MATCH(251,Players!$K$4:$K$503,0)),"")</f>
        <v/>
      </c>
    </row>
    <row r="255" spans="1:7">
      <c r="A255" s="1" t="str">
        <f>IFERROR(INDEX(Players!$B$4:$B$503,MATCH(252,Players!$K$4:$K$503,0)),"")</f>
        <v/>
      </c>
      <c r="B255" s="1" t="str">
        <f>IFERROR(INDEX(Players!$C$4:$C$503,MATCH(252,Players!$K$4:$K$503,0)),"")</f>
        <v/>
      </c>
      <c r="C255" s="1" t="str">
        <f>IFERROR(INDEX(Players!$D$4:$D$503,MATCH(252,Players!$K$4:$K$503,0)),"")</f>
        <v/>
      </c>
      <c r="D255" s="7" t="str">
        <f>IFERROR(INDEX(Players!$E$4:$E$503,MATCH(252,Players!$K$4:$K$503,0)),"")</f>
        <v/>
      </c>
      <c r="E255" s="1" t="str">
        <f>IFERROR(INDEX(Players!$G$4:$G$503,MATCH(252,Players!$K$4:$K$503,0)),"")</f>
        <v/>
      </c>
      <c r="F255" s="7" t="str">
        <f>IFERROR(INDEX(Players!$H$4:$H$503,MATCH(252,Players!$K$4:$K$503,0)),"")</f>
        <v/>
      </c>
      <c r="G255" s="1" t="str">
        <f>IFERROR(INDEX(Players!$I$4:$I$503,MATCH(252,Players!$K$4:$K$503,0)),"")</f>
        <v/>
      </c>
    </row>
    <row r="256" spans="1:7">
      <c r="A256" s="1" t="str">
        <f>IFERROR(INDEX(Players!$B$4:$B$503,MATCH(253,Players!$K$4:$K$503,0)),"")</f>
        <v/>
      </c>
      <c r="B256" s="1" t="str">
        <f>IFERROR(INDEX(Players!$C$4:$C$503,MATCH(253,Players!$K$4:$K$503,0)),"")</f>
        <v/>
      </c>
      <c r="C256" s="1" t="str">
        <f>IFERROR(INDEX(Players!$D$4:$D$503,MATCH(253,Players!$K$4:$K$503,0)),"")</f>
        <v/>
      </c>
      <c r="D256" s="7" t="str">
        <f>IFERROR(INDEX(Players!$E$4:$E$503,MATCH(253,Players!$K$4:$K$503,0)),"")</f>
        <v/>
      </c>
      <c r="E256" s="1" t="str">
        <f>IFERROR(INDEX(Players!$G$4:$G$503,MATCH(253,Players!$K$4:$K$503,0)),"")</f>
        <v/>
      </c>
      <c r="F256" s="7" t="str">
        <f>IFERROR(INDEX(Players!$H$4:$H$503,MATCH(253,Players!$K$4:$K$503,0)),"")</f>
        <v/>
      </c>
      <c r="G256" s="1" t="str">
        <f>IFERROR(INDEX(Players!$I$4:$I$503,MATCH(253,Players!$K$4:$K$503,0)),"")</f>
        <v/>
      </c>
    </row>
    <row r="257" spans="1:7">
      <c r="A257" s="1" t="str">
        <f>IFERROR(INDEX(Players!$B$4:$B$503,MATCH(254,Players!$K$4:$K$503,0)),"")</f>
        <v/>
      </c>
      <c r="B257" s="1" t="str">
        <f>IFERROR(INDEX(Players!$C$4:$C$503,MATCH(254,Players!$K$4:$K$503,0)),"")</f>
        <v/>
      </c>
      <c r="C257" s="1" t="str">
        <f>IFERROR(INDEX(Players!$D$4:$D$503,MATCH(254,Players!$K$4:$K$503,0)),"")</f>
        <v/>
      </c>
      <c r="D257" s="7" t="str">
        <f>IFERROR(INDEX(Players!$E$4:$E$503,MATCH(254,Players!$K$4:$K$503,0)),"")</f>
        <v/>
      </c>
      <c r="E257" s="1" t="str">
        <f>IFERROR(INDEX(Players!$G$4:$G$503,MATCH(254,Players!$K$4:$K$503,0)),"")</f>
        <v/>
      </c>
      <c r="F257" s="7" t="str">
        <f>IFERROR(INDEX(Players!$H$4:$H$503,MATCH(254,Players!$K$4:$K$503,0)),"")</f>
        <v/>
      </c>
      <c r="G257" s="1" t="str">
        <f>IFERROR(INDEX(Players!$I$4:$I$503,MATCH(254,Players!$K$4:$K$503,0)),"")</f>
        <v/>
      </c>
    </row>
    <row r="258" spans="1:7">
      <c r="A258" s="1" t="str">
        <f>IFERROR(INDEX(Players!$B$4:$B$503,MATCH(255,Players!$K$4:$K$503,0)),"")</f>
        <v/>
      </c>
      <c r="B258" s="1" t="str">
        <f>IFERROR(INDEX(Players!$C$4:$C$503,MATCH(255,Players!$K$4:$K$503,0)),"")</f>
        <v/>
      </c>
      <c r="C258" s="1" t="str">
        <f>IFERROR(INDEX(Players!$D$4:$D$503,MATCH(255,Players!$K$4:$K$503,0)),"")</f>
        <v/>
      </c>
      <c r="D258" s="7" t="str">
        <f>IFERROR(INDEX(Players!$E$4:$E$503,MATCH(255,Players!$K$4:$K$503,0)),"")</f>
        <v/>
      </c>
      <c r="E258" s="1" t="str">
        <f>IFERROR(INDEX(Players!$G$4:$G$503,MATCH(255,Players!$K$4:$K$503,0)),"")</f>
        <v/>
      </c>
      <c r="F258" s="7" t="str">
        <f>IFERROR(INDEX(Players!$H$4:$H$503,MATCH(255,Players!$K$4:$K$503,0)),"")</f>
        <v/>
      </c>
      <c r="G258" s="1" t="str">
        <f>IFERROR(INDEX(Players!$I$4:$I$503,MATCH(255,Players!$K$4:$K$503,0)),"")</f>
        <v/>
      </c>
    </row>
    <row r="259" spans="1:7">
      <c r="A259" s="1" t="str">
        <f>IFERROR(INDEX(Players!$B$4:$B$503,MATCH(256,Players!$K$4:$K$503,0)),"")</f>
        <v/>
      </c>
      <c r="B259" s="1" t="str">
        <f>IFERROR(INDEX(Players!$C$4:$C$503,MATCH(256,Players!$K$4:$K$503,0)),"")</f>
        <v/>
      </c>
      <c r="C259" s="1" t="str">
        <f>IFERROR(INDEX(Players!$D$4:$D$503,MATCH(256,Players!$K$4:$K$503,0)),"")</f>
        <v/>
      </c>
      <c r="D259" s="7" t="str">
        <f>IFERROR(INDEX(Players!$E$4:$E$503,MATCH(256,Players!$K$4:$K$503,0)),"")</f>
        <v/>
      </c>
      <c r="E259" s="1" t="str">
        <f>IFERROR(INDEX(Players!$G$4:$G$503,MATCH(256,Players!$K$4:$K$503,0)),"")</f>
        <v/>
      </c>
      <c r="F259" s="7" t="str">
        <f>IFERROR(INDEX(Players!$H$4:$H$503,MATCH(256,Players!$K$4:$K$503,0)),"")</f>
        <v/>
      </c>
      <c r="G259" s="1" t="str">
        <f>IFERROR(INDEX(Players!$I$4:$I$503,MATCH(256,Players!$K$4:$K$503,0)),"")</f>
        <v/>
      </c>
    </row>
    <row r="260" spans="1:7">
      <c r="A260" s="1" t="str">
        <f>IFERROR(INDEX(Players!$B$4:$B$503,MATCH(257,Players!$K$4:$K$503,0)),"")</f>
        <v/>
      </c>
      <c r="B260" s="1" t="str">
        <f>IFERROR(INDEX(Players!$C$4:$C$503,MATCH(257,Players!$K$4:$K$503,0)),"")</f>
        <v/>
      </c>
      <c r="C260" s="1" t="str">
        <f>IFERROR(INDEX(Players!$D$4:$D$503,MATCH(257,Players!$K$4:$K$503,0)),"")</f>
        <v/>
      </c>
      <c r="D260" s="7" t="str">
        <f>IFERROR(INDEX(Players!$E$4:$E$503,MATCH(257,Players!$K$4:$K$503,0)),"")</f>
        <v/>
      </c>
      <c r="E260" s="1" t="str">
        <f>IFERROR(INDEX(Players!$G$4:$G$503,MATCH(257,Players!$K$4:$K$503,0)),"")</f>
        <v/>
      </c>
      <c r="F260" s="7" t="str">
        <f>IFERROR(INDEX(Players!$H$4:$H$503,MATCH(257,Players!$K$4:$K$503,0)),"")</f>
        <v/>
      </c>
      <c r="G260" s="1" t="str">
        <f>IFERROR(INDEX(Players!$I$4:$I$503,MATCH(257,Players!$K$4:$K$503,0)),"")</f>
        <v/>
      </c>
    </row>
    <row r="261" spans="1:7">
      <c r="A261" s="1" t="str">
        <f>IFERROR(INDEX(Players!$B$4:$B$503,MATCH(258,Players!$K$4:$K$503,0)),"")</f>
        <v/>
      </c>
      <c r="B261" s="1" t="str">
        <f>IFERROR(INDEX(Players!$C$4:$C$503,MATCH(258,Players!$K$4:$K$503,0)),"")</f>
        <v/>
      </c>
      <c r="C261" s="1" t="str">
        <f>IFERROR(INDEX(Players!$D$4:$D$503,MATCH(258,Players!$K$4:$K$503,0)),"")</f>
        <v/>
      </c>
      <c r="D261" s="7" t="str">
        <f>IFERROR(INDEX(Players!$E$4:$E$503,MATCH(258,Players!$K$4:$K$503,0)),"")</f>
        <v/>
      </c>
      <c r="E261" s="1" t="str">
        <f>IFERROR(INDEX(Players!$G$4:$G$503,MATCH(258,Players!$K$4:$K$503,0)),"")</f>
        <v/>
      </c>
      <c r="F261" s="7" t="str">
        <f>IFERROR(INDEX(Players!$H$4:$H$503,MATCH(258,Players!$K$4:$K$503,0)),"")</f>
        <v/>
      </c>
      <c r="G261" s="1" t="str">
        <f>IFERROR(INDEX(Players!$I$4:$I$503,MATCH(258,Players!$K$4:$K$503,0)),"")</f>
        <v/>
      </c>
    </row>
    <row r="262" spans="1:7">
      <c r="A262" s="1" t="str">
        <f>IFERROR(INDEX(Players!$B$4:$B$503,MATCH(259,Players!$K$4:$K$503,0)),"")</f>
        <v/>
      </c>
      <c r="B262" s="1" t="str">
        <f>IFERROR(INDEX(Players!$C$4:$C$503,MATCH(259,Players!$K$4:$K$503,0)),"")</f>
        <v/>
      </c>
      <c r="C262" s="1" t="str">
        <f>IFERROR(INDEX(Players!$D$4:$D$503,MATCH(259,Players!$K$4:$K$503,0)),"")</f>
        <v/>
      </c>
      <c r="D262" s="7" t="str">
        <f>IFERROR(INDEX(Players!$E$4:$E$503,MATCH(259,Players!$K$4:$K$503,0)),"")</f>
        <v/>
      </c>
      <c r="E262" s="1" t="str">
        <f>IFERROR(INDEX(Players!$G$4:$G$503,MATCH(259,Players!$K$4:$K$503,0)),"")</f>
        <v/>
      </c>
      <c r="F262" s="7" t="str">
        <f>IFERROR(INDEX(Players!$H$4:$H$503,MATCH(259,Players!$K$4:$K$503,0)),"")</f>
        <v/>
      </c>
      <c r="G262" s="1" t="str">
        <f>IFERROR(INDEX(Players!$I$4:$I$503,MATCH(259,Players!$K$4:$K$503,0)),"")</f>
        <v/>
      </c>
    </row>
    <row r="263" spans="1:7">
      <c r="A263" s="1" t="str">
        <f>IFERROR(INDEX(Players!$B$4:$B$503,MATCH(260,Players!$K$4:$K$503,0)),"")</f>
        <v/>
      </c>
      <c r="B263" s="1" t="str">
        <f>IFERROR(INDEX(Players!$C$4:$C$503,MATCH(260,Players!$K$4:$K$503,0)),"")</f>
        <v/>
      </c>
      <c r="C263" s="1" t="str">
        <f>IFERROR(INDEX(Players!$D$4:$D$503,MATCH(260,Players!$K$4:$K$503,0)),"")</f>
        <v/>
      </c>
      <c r="D263" s="7" t="str">
        <f>IFERROR(INDEX(Players!$E$4:$E$503,MATCH(260,Players!$K$4:$K$503,0)),"")</f>
        <v/>
      </c>
      <c r="E263" s="1" t="str">
        <f>IFERROR(INDEX(Players!$G$4:$G$503,MATCH(260,Players!$K$4:$K$503,0)),"")</f>
        <v/>
      </c>
      <c r="F263" s="7" t="str">
        <f>IFERROR(INDEX(Players!$H$4:$H$503,MATCH(260,Players!$K$4:$K$503,0)),"")</f>
        <v/>
      </c>
      <c r="G263" s="1" t="str">
        <f>IFERROR(INDEX(Players!$I$4:$I$503,MATCH(260,Players!$K$4:$K$503,0)),"")</f>
        <v/>
      </c>
    </row>
    <row r="264" spans="1:7">
      <c r="A264" s="1" t="str">
        <f>IFERROR(INDEX(Players!$B$4:$B$503,MATCH(261,Players!$K$4:$K$503,0)),"")</f>
        <v/>
      </c>
      <c r="B264" s="1" t="str">
        <f>IFERROR(INDEX(Players!$C$4:$C$503,MATCH(261,Players!$K$4:$K$503,0)),"")</f>
        <v/>
      </c>
      <c r="C264" s="1" t="str">
        <f>IFERROR(INDEX(Players!$D$4:$D$503,MATCH(261,Players!$K$4:$K$503,0)),"")</f>
        <v/>
      </c>
      <c r="D264" s="7" t="str">
        <f>IFERROR(INDEX(Players!$E$4:$E$503,MATCH(261,Players!$K$4:$K$503,0)),"")</f>
        <v/>
      </c>
      <c r="E264" s="1" t="str">
        <f>IFERROR(INDEX(Players!$G$4:$G$503,MATCH(261,Players!$K$4:$K$503,0)),"")</f>
        <v/>
      </c>
      <c r="F264" s="7" t="str">
        <f>IFERROR(INDEX(Players!$H$4:$H$503,MATCH(261,Players!$K$4:$K$503,0)),"")</f>
        <v/>
      </c>
      <c r="G264" s="1" t="str">
        <f>IFERROR(INDEX(Players!$I$4:$I$503,MATCH(261,Players!$K$4:$K$503,0)),"")</f>
        <v/>
      </c>
    </row>
    <row r="265" spans="1:7">
      <c r="A265" s="1" t="str">
        <f>IFERROR(INDEX(Players!$B$4:$B$503,MATCH(262,Players!$K$4:$K$503,0)),"")</f>
        <v/>
      </c>
      <c r="B265" s="1" t="str">
        <f>IFERROR(INDEX(Players!$C$4:$C$503,MATCH(262,Players!$K$4:$K$503,0)),"")</f>
        <v/>
      </c>
      <c r="C265" s="1" t="str">
        <f>IFERROR(INDEX(Players!$D$4:$D$503,MATCH(262,Players!$K$4:$K$503,0)),"")</f>
        <v/>
      </c>
      <c r="D265" s="7" t="str">
        <f>IFERROR(INDEX(Players!$E$4:$E$503,MATCH(262,Players!$K$4:$K$503,0)),"")</f>
        <v/>
      </c>
      <c r="E265" s="1" t="str">
        <f>IFERROR(INDEX(Players!$G$4:$G$503,MATCH(262,Players!$K$4:$K$503,0)),"")</f>
        <v/>
      </c>
      <c r="F265" s="7" t="str">
        <f>IFERROR(INDEX(Players!$H$4:$H$503,MATCH(262,Players!$K$4:$K$503,0)),"")</f>
        <v/>
      </c>
      <c r="G265" s="1" t="str">
        <f>IFERROR(INDEX(Players!$I$4:$I$503,MATCH(262,Players!$K$4:$K$503,0)),"")</f>
        <v/>
      </c>
    </row>
    <row r="266" spans="1:7">
      <c r="A266" s="1" t="str">
        <f>IFERROR(INDEX(Players!$B$4:$B$503,MATCH(263,Players!$K$4:$K$503,0)),"")</f>
        <v/>
      </c>
      <c r="B266" s="1" t="str">
        <f>IFERROR(INDEX(Players!$C$4:$C$503,MATCH(263,Players!$K$4:$K$503,0)),"")</f>
        <v/>
      </c>
      <c r="C266" s="1" t="str">
        <f>IFERROR(INDEX(Players!$D$4:$D$503,MATCH(263,Players!$K$4:$K$503,0)),"")</f>
        <v/>
      </c>
      <c r="D266" s="7" t="str">
        <f>IFERROR(INDEX(Players!$E$4:$E$503,MATCH(263,Players!$K$4:$K$503,0)),"")</f>
        <v/>
      </c>
      <c r="E266" s="1" t="str">
        <f>IFERROR(INDEX(Players!$G$4:$G$503,MATCH(263,Players!$K$4:$K$503,0)),"")</f>
        <v/>
      </c>
      <c r="F266" s="7" t="str">
        <f>IFERROR(INDEX(Players!$H$4:$H$503,MATCH(263,Players!$K$4:$K$503,0)),"")</f>
        <v/>
      </c>
      <c r="G266" s="1" t="str">
        <f>IFERROR(INDEX(Players!$I$4:$I$503,MATCH(263,Players!$K$4:$K$503,0)),"")</f>
        <v/>
      </c>
    </row>
    <row r="267" spans="1:7">
      <c r="A267" s="1" t="str">
        <f>IFERROR(INDEX(Players!$B$4:$B$503,MATCH(264,Players!$K$4:$K$503,0)),"")</f>
        <v/>
      </c>
      <c r="B267" s="1" t="str">
        <f>IFERROR(INDEX(Players!$C$4:$C$503,MATCH(264,Players!$K$4:$K$503,0)),"")</f>
        <v/>
      </c>
      <c r="C267" s="1" t="str">
        <f>IFERROR(INDEX(Players!$D$4:$D$503,MATCH(264,Players!$K$4:$K$503,0)),"")</f>
        <v/>
      </c>
      <c r="D267" s="7" t="str">
        <f>IFERROR(INDEX(Players!$E$4:$E$503,MATCH(264,Players!$K$4:$K$503,0)),"")</f>
        <v/>
      </c>
      <c r="E267" s="1" t="str">
        <f>IFERROR(INDEX(Players!$G$4:$G$503,MATCH(264,Players!$K$4:$K$503,0)),"")</f>
        <v/>
      </c>
      <c r="F267" s="7" t="str">
        <f>IFERROR(INDEX(Players!$H$4:$H$503,MATCH(264,Players!$K$4:$K$503,0)),"")</f>
        <v/>
      </c>
      <c r="G267" s="1" t="str">
        <f>IFERROR(INDEX(Players!$I$4:$I$503,MATCH(264,Players!$K$4:$K$503,0)),"")</f>
        <v/>
      </c>
    </row>
    <row r="268" spans="1:7">
      <c r="A268" s="1" t="str">
        <f>IFERROR(INDEX(Players!$B$4:$B$503,MATCH(265,Players!$K$4:$K$503,0)),"")</f>
        <v/>
      </c>
      <c r="B268" s="1" t="str">
        <f>IFERROR(INDEX(Players!$C$4:$C$503,MATCH(265,Players!$K$4:$K$503,0)),"")</f>
        <v/>
      </c>
      <c r="C268" s="1" t="str">
        <f>IFERROR(INDEX(Players!$D$4:$D$503,MATCH(265,Players!$K$4:$K$503,0)),"")</f>
        <v/>
      </c>
      <c r="D268" s="7" t="str">
        <f>IFERROR(INDEX(Players!$E$4:$E$503,MATCH(265,Players!$K$4:$K$503,0)),"")</f>
        <v/>
      </c>
      <c r="E268" s="1" t="str">
        <f>IFERROR(INDEX(Players!$G$4:$G$503,MATCH(265,Players!$K$4:$K$503,0)),"")</f>
        <v/>
      </c>
      <c r="F268" s="7" t="str">
        <f>IFERROR(INDEX(Players!$H$4:$H$503,MATCH(265,Players!$K$4:$K$503,0)),"")</f>
        <v/>
      </c>
      <c r="G268" s="1" t="str">
        <f>IFERROR(INDEX(Players!$I$4:$I$503,MATCH(265,Players!$K$4:$K$503,0)),"")</f>
        <v/>
      </c>
    </row>
    <row r="269" spans="1:7">
      <c r="A269" s="1" t="str">
        <f>IFERROR(INDEX(Players!$B$4:$B$503,MATCH(266,Players!$K$4:$K$503,0)),"")</f>
        <v/>
      </c>
      <c r="B269" s="1" t="str">
        <f>IFERROR(INDEX(Players!$C$4:$C$503,MATCH(266,Players!$K$4:$K$503,0)),"")</f>
        <v/>
      </c>
      <c r="C269" s="1" t="str">
        <f>IFERROR(INDEX(Players!$D$4:$D$503,MATCH(266,Players!$K$4:$K$503,0)),"")</f>
        <v/>
      </c>
      <c r="D269" s="7" t="str">
        <f>IFERROR(INDEX(Players!$E$4:$E$503,MATCH(266,Players!$K$4:$K$503,0)),"")</f>
        <v/>
      </c>
      <c r="E269" s="1" t="str">
        <f>IFERROR(INDEX(Players!$G$4:$G$503,MATCH(266,Players!$K$4:$K$503,0)),"")</f>
        <v/>
      </c>
      <c r="F269" s="7" t="str">
        <f>IFERROR(INDEX(Players!$H$4:$H$503,MATCH(266,Players!$K$4:$K$503,0)),"")</f>
        <v/>
      </c>
      <c r="G269" s="1" t="str">
        <f>IFERROR(INDEX(Players!$I$4:$I$503,MATCH(266,Players!$K$4:$K$503,0)),"")</f>
        <v/>
      </c>
    </row>
    <row r="270" spans="1:7">
      <c r="A270" s="1" t="str">
        <f>IFERROR(INDEX(Players!$B$4:$B$503,MATCH(267,Players!$K$4:$K$503,0)),"")</f>
        <v/>
      </c>
      <c r="B270" s="1" t="str">
        <f>IFERROR(INDEX(Players!$C$4:$C$503,MATCH(267,Players!$K$4:$K$503,0)),"")</f>
        <v/>
      </c>
      <c r="C270" s="1" t="str">
        <f>IFERROR(INDEX(Players!$D$4:$D$503,MATCH(267,Players!$K$4:$K$503,0)),"")</f>
        <v/>
      </c>
      <c r="D270" s="7" t="str">
        <f>IFERROR(INDEX(Players!$E$4:$E$503,MATCH(267,Players!$K$4:$K$503,0)),"")</f>
        <v/>
      </c>
      <c r="E270" s="1" t="str">
        <f>IFERROR(INDEX(Players!$G$4:$G$503,MATCH(267,Players!$K$4:$K$503,0)),"")</f>
        <v/>
      </c>
      <c r="F270" s="7" t="str">
        <f>IFERROR(INDEX(Players!$H$4:$H$503,MATCH(267,Players!$K$4:$K$503,0)),"")</f>
        <v/>
      </c>
      <c r="G270" s="1" t="str">
        <f>IFERROR(INDEX(Players!$I$4:$I$503,MATCH(267,Players!$K$4:$K$503,0)),"")</f>
        <v/>
      </c>
    </row>
    <row r="271" spans="1:7">
      <c r="A271" s="1" t="str">
        <f>IFERROR(INDEX(Players!$B$4:$B$503,MATCH(268,Players!$K$4:$K$503,0)),"")</f>
        <v/>
      </c>
      <c r="B271" s="1" t="str">
        <f>IFERROR(INDEX(Players!$C$4:$C$503,MATCH(268,Players!$K$4:$K$503,0)),"")</f>
        <v/>
      </c>
      <c r="C271" s="1" t="str">
        <f>IFERROR(INDEX(Players!$D$4:$D$503,MATCH(268,Players!$K$4:$K$503,0)),"")</f>
        <v/>
      </c>
      <c r="D271" s="7" t="str">
        <f>IFERROR(INDEX(Players!$E$4:$E$503,MATCH(268,Players!$K$4:$K$503,0)),"")</f>
        <v/>
      </c>
      <c r="E271" s="1" t="str">
        <f>IFERROR(INDEX(Players!$G$4:$G$503,MATCH(268,Players!$K$4:$K$503,0)),"")</f>
        <v/>
      </c>
      <c r="F271" s="7" t="str">
        <f>IFERROR(INDEX(Players!$H$4:$H$503,MATCH(268,Players!$K$4:$K$503,0)),"")</f>
        <v/>
      </c>
      <c r="G271" s="1" t="str">
        <f>IFERROR(INDEX(Players!$I$4:$I$503,MATCH(268,Players!$K$4:$K$503,0)),"")</f>
        <v/>
      </c>
    </row>
    <row r="272" spans="1:7">
      <c r="A272" s="1" t="str">
        <f>IFERROR(INDEX(Players!$B$4:$B$503,MATCH(269,Players!$K$4:$K$503,0)),"")</f>
        <v/>
      </c>
      <c r="B272" s="1" t="str">
        <f>IFERROR(INDEX(Players!$C$4:$C$503,MATCH(269,Players!$K$4:$K$503,0)),"")</f>
        <v/>
      </c>
      <c r="C272" s="1" t="str">
        <f>IFERROR(INDEX(Players!$D$4:$D$503,MATCH(269,Players!$K$4:$K$503,0)),"")</f>
        <v/>
      </c>
      <c r="D272" s="7" t="str">
        <f>IFERROR(INDEX(Players!$E$4:$E$503,MATCH(269,Players!$K$4:$K$503,0)),"")</f>
        <v/>
      </c>
      <c r="E272" s="1" t="str">
        <f>IFERROR(INDEX(Players!$G$4:$G$503,MATCH(269,Players!$K$4:$K$503,0)),"")</f>
        <v/>
      </c>
      <c r="F272" s="7" t="str">
        <f>IFERROR(INDEX(Players!$H$4:$H$503,MATCH(269,Players!$K$4:$K$503,0)),"")</f>
        <v/>
      </c>
      <c r="G272" s="1" t="str">
        <f>IFERROR(INDEX(Players!$I$4:$I$503,MATCH(269,Players!$K$4:$K$503,0)),"")</f>
        <v/>
      </c>
    </row>
    <row r="273" spans="1:7">
      <c r="A273" s="1" t="str">
        <f>IFERROR(INDEX(Players!$B$4:$B$503,MATCH(270,Players!$K$4:$K$503,0)),"")</f>
        <v/>
      </c>
      <c r="B273" s="1" t="str">
        <f>IFERROR(INDEX(Players!$C$4:$C$503,MATCH(270,Players!$K$4:$K$503,0)),"")</f>
        <v/>
      </c>
      <c r="C273" s="1" t="str">
        <f>IFERROR(INDEX(Players!$D$4:$D$503,MATCH(270,Players!$K$4:$K$503,0)),"")</f>
        <v/>
      </c>
      <c r="D273" s="7" t="str">
        <f>IFERROR(INDEX(Players!$E$4:$E$503,MATCH(270,Players!$K$4:$K$503,0)),"")</f>
        <v/>
      </c>
      <c r="E273" s="1" t="str">
        <f>IFERROR(INDEX(Players!$G$4:$G$503,MATCH(270,Players!$K$4:$K$503,0)),"")</f>
        <v/>
      </c>
      <c r="F273" s="7" t="str">
        <f>IFERROR(INDEX(Players!$H$4:$H$503,MATCH(270,Players!$K$4:$K$503,0)),"")</f>
        <v/>
      </c>
      <c r="G273" s="1" t="str">
        <f>IFERROR(INDEX(Players!$I$4:$I$503,MATCH(270,Players!$K$4:$K$503,0)),"")</f>
        <v/>
      </c>
    </row>
    <row r="274" spans="1:7">
      <c r="A274" s="1" t="str">
        <f>IFERROR(INDEX(Players!$B$4:$B$503,MATCH(271,Players!$K$4:$K$503,0)),"")</f>
        <v/>
      </c>
      <c r="B274" s="1" t="str">
        <f>IFERROR(INDEX(Players!$C$4:$C$503,MATCH(271,Players!$K$4:$K$503,0)),"")</f>
        <v/>
      </c>
      <c r="C274" s="1" t="str">
        <f>IFERROR(INDEX(Players!$D$4:$D$503,MATCH(271,Players!$K$4:$K$503,0)),"")</f>
        <v/>
      </c>
      <c r="D274" s="7" t="str">
        <f>IFERROR(INDEX(Players!$E$4:$E$503,MATCH(271,Players!$K$4:$K$503,0)),"")</f>
        <v/>
      </c>
      <c r="E274" s="1" t="str">
        <f>IFERROR(INDEX(Players!$G$4:$G$503,MATCH(271,Players!$K$4:$K$503,0)),"")</f>
        <v/>
      </c>
      <c r="F274" s="7" t="str">
        <f>IFERROR(INDEX(Players!$H$4:$H$503,MATCH(271,Players!$K$4:$K$503,0)),"")</f>
        <v/>
      </c>
      <c r="G274" s="1" t="str">
        <f>IFERROR(INDEX(Players!$I$4:$I$503,MATCH(271,Players!$K$4:$K$503,0)),"")</f>
        <v/>
      </c>
    </row>
    <row r="275" spans="1:7">
      <c r="A275" s="1" t="str">
        <f>IFERROR(INDEX(Players!$B$4:$B$503,MATCH(272,Players!$K$4:$K$503,0)),"")</f>
        <v/>
      </c>
      <c r="B275" s="1" t="str">
        <f>IFERROR(INDEX(Players!$C$4:$C$503,MATCH(272,Players!$K$4:$K$503,0)),"")</f>
        <v/>
      </c>
      <c r="C275" s="1" t="str">
        <f>IFERROR(INDEX(Players!$D$4:$D$503,MATCH(272,Players!$K$4:$K$503,0)),"")</f>
        <v/>
      </c>
      <c r="D275" s="7" t="str">
        <f>IFERROR(INDEX(Players!$E$4:$E$503,MATCH(272,Players!$K$4:$K$503,0)),"")</f>
        <v/>
      </c>
      <c r="E275" s="1" t="str">
        <f>IFERROR(INDEX(Players!$G$4:$G$503,MATCH(272,Players!$K$4:$K$503,0)),"")</f>
        <v/>
      </c>
      <c r="F275" s="7" t="str">
        <f>IFERROR(INDEX(Players!$H$4:$H$503,MATCH(272,Players!$K$4:$K$503,0)),"")</f>
        <v/>
      </c>
      <c r="G275" s="1" t="str">
        <f>IFERROR(INDEX(Players!$I$4:$I$503,MATCH(272,Players!$K$4:$K$503,0)),"")</f>
        <v/>
      </c>
    </row>
    <row r="276" spans="1:7">
      <c r="A276" s="1" t="str">
        <f>IFERROR(INDEX(Players!$B$4:$B$503,MATCH(273,Players!$K$4:$K$503,0)),"")</f>
        <v/>
      </c>
      <c r="B276" s="1" t="str">
        <f>IFERROR(INDEX(Players!$C$4:$C$503,MATCH(273,Players!$K$4:$K$503,0)),"")</f>
        <v/>
      </c>
      <c r="C276" s="1" t="str">
        <f>IFERROR(INDEX(Players!$D$4:$D$503,MATCH(273,Players!$K$4:$K$503,0)),"")</f>
        <v/>
      </c>
      <c r="D276" s="7" t="str">
        <f>IFERROR(INDEX(Players!$E$4:$E$503,MATCH(273,Players!$K$4:$K$503,0)),"")</f>
        <v/>
      </c>
      <c r="E276" s="1" t="str">
        <f>IFERROR(INDEX(Players!$G$4:$G$503,MATCH(273,Players!$K$4:$K$503,0)),"")</f>
        <v/>
      </c>
      <c r="F276" s="7" t="str">
        <f>IFERROR(INDEX(Players!$H$4:$H$503,MATCH(273,Players!$K$4:$K$503,0)),"")</f>
        <v/>
      </c>
      <c r="G276" s="1" t="str">
        <f>IFERROR(INDEX(Players!$I$4:$I$503,MATCH(273,Players!$K$4:$K$503,0)),"")</f>
        <v/>
      </c>
    </row>
    <row r="277" spans="1:7">
      <c r="A277" s="1" t="str">
        <f>IFERROR(INDEX(Players!$B$4:$B$503,MATCH(274,Players!$K$4:$K$503,0)),"")</f>
        <v/>
      </c>
      <c r="B277" s="1" t="str">
        <f>IFERROR(INDEX(Players!$C$4:$C$503,MATCH(274,Players!$K$4:$K$503,0)),"")</f>
        <v/>
      </c>
      <c r="C277" s="1" t="str">
        <f>IFERROR(INDEX(Players!$D$4:$D$503,MATCH(274,Players!$K$4:$K$503,0)),"")</f>
        <v/>
      </c>
      <c r="D277" s="7" t="str">
        <f>IFERROR(INDEX(Players!$E$4:$E$503,MATCH(274,Players!$K$4:$K$503,0)),"")</f>
        <v/>
      </c>
      <c r="E277" s="1" t="str">
        <f>IFERROR(INDEX(Players!$G$4:$G$503,MATCH(274,Players!$K$4:$K$503,0)),"")</f>
        <v/>
      </c>
      <c r="F277" s="7" t="str">
        <f>IFERROR(INDEX(Players!$H$4:$H$503,MATCH(274,Players!$K$4:$K$503,0)),"")</f>
        <v/>
      </c>
      <c r="G277" s="1" t="str">
        <f>IFERROR(INDEX(Players!$I$4:$I$503,MATCH(274,Players!$K$4:$K$503,0)),"")</f>
        <v/>
      </c>
    </row>
    <row r="278" spans="1:7">
      <c r="A278" s="1" t="str">
        <f>IFERROR(INDEX(Players!$B$4:$B$503,MATCH(275,Players!$K$4:$K$503,0)),"")</f>
        <v/>
      </c>
      <c r="B278" s="1" t="str">
        <f>IFERROR(INDEX(Players!$C$4:$C$503,MATCH(275,Players!$K$4:$K$503,0)),"")</f>
        <v/>
      </c>
      <c r="C278" s="1" t="str">
        <f>IFERROR(INDEX(Players!$D$4:$D$503,MATCH(275,Players!$K$4:$K$503,0)),"")</f>
        <v/>
      </c>
      <c r="D278" s="7" t="str">
        <f>IFERROR(INDEX(Players!$E$4:$E$503,MATCH(275,Players!$K$4:$K$503,0)),"")</f>
        <v/>
      </c>
      <c r="E278" s="1" t="str">
        <f>IFERROR(INDEX(Players!$G$4:$G$503,MATCH(275,Players!$K$4:$K$503,0)),"")</f>
        <v/>
      </c>
      <c r="F278" s="7" t="str">
        <f>IFERROR(INDEX(Players!$H$4:$H$503,MATCH(275,Players!$K$4:$K$503,0)),"")</f>
        <v/>
      </c>
      <c r="G278" s="1" t="str">
        <f>IFERROR(INDEX(Players!$I$4:$I$503,MATCH(275,Players!$K$4:$K$503,0)),"")</f>
        <v/>
      </c>
    </row>
    <row r="279" spans="1:7">
      <c r="A279" s="1" t="str">
        <f>IFERROR(INDEX(Players!$B$4:$B$503,MATCH(276,Players!$K$4:$K$503,0)),"")</f>
        <v/>
      </c>
      <c r="B279" s="1" t="str">
        <f>IFERROR(INDEX(Players!$C$4:$C$503,MATCH(276,Players!$K$4:$K$503,0)),"")</f>
        <v/>
      </c>
      <c r="C279" s="1" t="str">
        <f>IFERROR(INDEX(Players!$D$4:$D$503,MATCH(276,Players!$K$4:$K$503,0)),"")</f>
        <v/>
      </c>
      <c r="D279" s="7" t="str">
        <f>IFERROR(INDEX(Players!$E$4:$E$503,MATCH(276,Players!$K$4:$K$503,0)),"")</f>
        <v/>
      </c>
      <c r="E279" s="1" t="str">
        <f>IFERROR(INDEX(Players!$G$4:$G$503,MATCH(276,Players!$K$4:$K$503,0)),"")</f>
        <v/>
      </c>
      <c r="F279" s="7" t="str">
        <f>IFERROR(INDEX(Players!$H$4:$H$503,MATCH(276,Players!$K$4:$K$503,0)),"")</f>
        <v/>
      </c>
      <c r="G279" s="1" t="str">
        <f>IFERROR(INDEX(Players!$I$4:$I$503,MATCH(276,Players!$K$4:$K$503,0)),"")</f>
        <v/>
      </c>
    </row>
    <row r="280" spans="1:7">
      <c r="A280" s="1" t="str">
        <f>IFERROR(INDEX(Players!$B$4:$B$503,MATCH(277,Players!$K$4:$K$503,0)),"")</f>
        <v/>
      </c>
      <c r="B280" s="1" t="str">
        <f>IFERROR(INDEX(Players!$C$4:$C$503,MATCH(277,Players!$K$4:$K$503,0)),"")</f>
        <v/>
      </c>
      <c r="C280" s="1" t="str">
        <f>IFERROR(INDEX(Players!$D$4:$D$503,MATCH(277,Players!$K$4:$K$503,0)),"")</f>
        <v/>
      </c>
      <c r="D280" s="7" t="str">
        <f>IFERROR(INDEX(Players!$E$4:$E$503,MATCH(277,Players!$K$4:$K$503,0)),"")</f>
        <v/>
      </c>
      <c r="E280" s="1" t="str">
        <f>IFERROR(INDEX(Players!$G$4:$G$503,MATCH(277,Players!$K$4:$K$503,0)),"")</f>
        <v/>
      </c>
      <c r="F280" s="7" t="str">
        <f>IFERROR(INDEX(Players!$H$4:$H$503,MATCH(277,Players!$K$4:$K$503,0)),"")</f>
        <v/>
      </c>
      <c r="G280" s="1" t="str">
        <f>IFERROR(INDEX(Players!$I$4:$I$503,MATCH(277,Players!$K$4:$K$503,0)),"")</f>
        <v/>
      </c>
    </row>
    <row r="281" spans="1:7">
      <c r="A281" s="1" t="str">
        <f>IFERROR(INDEX(Players!$B$4:$B$503,MATCH(278,Players!$K$4:$K$503,0)),"")</f>
        <v/>
      </c>
      <c r="B281" s="1" t="str">
        <f>IFERROR(INDEX(Players!$C$4:$C$503,MATCH(278,Players!$K$4:$K$503,0)),"")</f>
        <v/>
      </c>
      <c r="C281" s="1" t="str">
        <f>IFERROR(INDEX(Players!$D$4:$D$503,MATCH(278,Players!$K$4:$K$503,0)),"")</f>
        <v/>
      </c>
      <c r="D281" s="7" t="str">
        <f>IFERROR(INDEX(Players!$E$4:$E$503,MATCH(278,Players!$K$4:$K$503,0)),"")</f>
        <v/>
      </c>
      <c r="E281" s="1" t="str">
        <f>IFERROR(INDEX(Players!$G$4:$G$503,MATCH(278,Players!$K$4:$K$503,0)),"")</f>
        <v/>
      </c>
      <c r="F281" s="7" t="str">
        <f>IFERROR(INDEX(Players!$H$4:$H$503,MATCH(278,Players!$K$4:$K$503,0)),"")</f>
        <v/>
      </c>
      <c r="G281" s="1" t="str">
        <f>IFERROR(INDEX(Players!$I$4:$I$503,MATCH(278,Players!$K$4:$K$503,0)),"")</f>
        <v/>
      </c>
    </row>
    <row r="282" spans="1:7">
      <c r="A282" s="1" t="str">
        <f>IFERROR(INDEX(Players!$B$4:$B$503,MATCH(279,Players!$K$4:$K$503,0)),"")</f>
        <v/>
      </c>
      <c r="B282" s="1" t="str">
        <f>IFERROR(INDEX(Players!$C$4:$C$503,MATCH(279,Players!$K$4:$K$503,0)),"")</f>
        <v/>
      </c>
      <c r="C282" s="1" t="str">
        <f>IFERROR(INDEX(Players!$D$4:$D$503,MATCH(279,Players!$K$4:$K$503,0)),"")</f>
        <v/>
      </c>
      <c r="D282" s="7" t="str">
        <f>IFERROR(INDEX(Players!$E$4:$E$503,MATCH(279,Players!$K$4:$K$503,0)),"")</f>
        <v/>
      </c>
      <c r="E282" s="1" t="str">
        <f>IFERROR(INDEX(Players!$G$4:$G$503,MATCH(279,Players!$K$4:$K$503,0)),"")</f>
        <v/>
      </c>
      <c r="F282" s="7" t="str">
        <f>IFERROR(INDEX(Players!$H$4:$H$503,MATCH(279,Players!$K$4:$K$503,0)),"")</f>
        <v/>
      </c>
      <c r="G282" s="1" t="str">
        <f>IFERROR(INDEX(Players!$I$4:$I$503,MATCH(279,Players!$K$4:$K$503,0)),"")</f>
        <v/>
      </c>
    </row>
    <row r="283" spans="1:7">
      <c r="A283" s="1" t="str">
        <f>IFERROR(INDEX(Players!$B$4:$B$503,MATCH(280,Players!$K$4:$K$503,0)),"")</f>
        <v/>
      </c>
      <c r="B283" s="1" t="str">
        <f>IFERROR(INDEX(Players!$C$4:$C$503,MATCH(280,Players!$K$4:$K$503,0)),"")</f>
        <v/>
      </c>
      <c r="C283" s="1" t="str">
        <f>IFERROR(INDEX(Players!$D$4:$D$503,MATCH(280,Players!$K$4:$K$503,0)),"")</f>
        <v/>
      </c>
      <c r="D283" s="7" t="str">
        <f>IFERROR(INDEX(Players!$E$4:$E$503,MATCH(280,Players!$K$4:$K$503,0)),"")</f>
        <v/>
      </c>
      <c r="E283" s="1" t="str">
        <f>IFERROR(INDEX(Players!$G$4:$G$503,MATCH(280,Players!$K$4:$K$503,0)),"")</f>
        <v/>
      </c>
      <c r="F283" s="7" t="str">
        <f>IFERROR(INDEX(Players!$H$4:$H$503,MATCH(280,Players!$K$4:$K$503,0)),"")</f>
        <v/>
      </c>
      <c r="G283" s="1" t="str">
        <f>IFERROR(INDEX(Players!$I$4:$I$503,MATCH(280,Players!$K$4:$K$503,0)),"")</f>
        <v/>
      </c>
    </row>
    <row r="284" spans="1:7">
      <c r="A284" s="1" t="str">
        <f>IFERROR(INDEX(Players!$B$4:$B$503,MATCH(281,Players!$K$4:$K$503,0)),"")</f>
        <v/>
      </c>
      <c r="B284" s="1" t="str">
        <f>IFERROR(INDEX(Players!$C$4:$C$503,MATCH(281,Players!$K$4:$K$503,0)),"")</f>
        <v/>
      </c>
      <c r="C284" s="1" t="str">
        <f>IFERROR(INDEX(Players!$D$4:$D$503,MATCH(281,Players!$K$4:$K$503,0)),"")</f>
        <v/>
      </c>
      <c r="D284" s="7" t="str">
        <f>IFERROR(INDEX(Players!$E$4:$E$503,MATCH(281,Players!$K$4:$K$503,0)),"")</f>
        <v/>
      </c>
      <c r="E284" s="1" t="str">
        <f>IFERROR(INDEX(Players!$G$4:$G$503,MATCH(281,Players!$K$4:$K$503,0)),"")</f>
        <v/>
      </c>
      <c r="F284" s="7" t="str">
        <f>IFERROR(INDEX(Players!$H$4:$H$503,MATCH(281,Players!$K$4:$K$503,0)),"")</f>
        <v/>
      </c>
      <c r="G284" s="1" t="str">
        <f>IFERROR(INDEX(Players!$I$4:$I$503,MATCH(281,Players!$K$4:$K$503,0)),"")</f>
        <v/>
      </c>
    </row>
    <row r="285" spans="1:7">
      <c r="A285" s="1" t="str">
        <f>IFERROR(INDEX(Players!$B$4:$B$503,MATCH(282,Players!$K$4:$K$503,0)),"")</f>
        <v/>
      </c>
      <c r="B285" s="1" t="str">
        <f>IFERROR(INDEX(Players!$C$4:$C$503,MATCH(282,Players!$K$4:$K$503,0)),"")</f>
        <v/>
      </c>
      <c r="C285" s="1" t="str">
        <f>IFERROR(INDEX(Players!$D$4:$D$503,MATCH(282,Players!$K$4:$K$503,0)),"")</f>
        <v/>
      </c>
      <c r="D285" s="7" t="str">
        <f>IFERROR(INDEX(Players!$E$4:$E$503,MATCH(282,Players!$K$4:$K$503,0)),"")</f>
        <v/>
      </c>
      <c r="E285" s="1" t="str">
        <f>IFERROR(INDEX(Players!$G$4:$G$503,MATCH(282,Players!$K$4:$K$503,0)),"")</f>
        <v/>
      </c>
      <c r="F285" s="7" t="str">
        <f>IFERROR(INDEX(Players!$H$4:$H$503,MATCH(282,Players!$K$4:$K$503,0)),"")</f>
        <v/>
      </c>
      <c r="G285" s="1" t="str">
        <f>IFERROR(INDEX(Players!$I$4:$I$503,MATCH(282,Players!$K$4:$K$503,0)),"")</f>
        <v/>
      </c>
    </row>
    <row r="286" spans="1:7">
      <c r="A286" s="1" t="str">
        <f>IFERROR(INDEX(Players!$B$4:$B$503,MATCH(283,Players!$K$4:$K$503,0)),"")</f>
        <v/>
      </c>
      <c r="B286" s="1" t="str">
        <f>IFERROR(INDEX(Players!$C$4:$C$503,MATCH(283,Players!$K$4:$K$503,0)),"")</f>
        <v/>
      </c>
      <c r="C286" s="1" t="str">
        <f>IFERROR(INDEX(Players!$D$4:$D$503,MATCH(283,Players!$K$4:$K$503,0)),"")</f>
        <v/>
      </c>
      <c r="D286" s="7" t="str">
        <f>IFERROR(INDEX(Players!$E$4:$E$503,MATCH(283,Players!$K$4:$K$503,0)),"")</f>
        <v/>
      </c>
      <c r="E286" s="1" t="str">
        <f>IFERROR(INDEX(Players!$G$4:$G$503,MATCH(283,Players!$K$4:$K$503,0)),"")</f>
        <v/>
      </c>
      <c r="F286" s="7" t="str">
        <f>IFERROR(INDEX(Players!$H$4:$H$503,MATCH(283,Players!$K$4:$K$503,0)),"")</f>
        <v/>
      </c>
      <c r="G286" s="1" t="str">
        <f>IFERROR(INDEX(Players!$I$4:$I$503,MATCH(283,Players!$K$4:$K$503,0)),"")</f>
        <v/>
      </c>
    </row>
    <row r="287" spans="1:7">
      <c r="A287" s="1" t="str">
        <f>IFERROR(INDEX(Players!$B$4:$B$503,MATCH(284,Players!$K$4:$K$503,0)),"")</f>
        <v/>
      </c>
      <c r="B287" s="1" t="str">
        <f>IFERROR(INDEX(Players!$C$4:$C$503,MATCH(284,Players!$K$4:$K$503,0)),"")</f>
        <v/>
      </c>
      <c r="C287" s="1" t="str">
        <f>IFERROR(INDEX(Players!$D$4:$D$503,MATCH(284,Players!$K$4:$K$503,0)),"")</f>
        <v/>
      </c>
      <c r="D287" s="7" t="str">
        <f>IFERROR(INDEX(Players!$E$4:$E$503,MATCH(284,Players!$K$4:$K$503,0)),"")</f>
        <v/>
      </c>
      <c r="E287" s="1" t="str">
        <f>IFERROR(INDEX(Players!$G$4:$G$503,MATCH(284,Players!$K$4:$K$503,0)),"")</f>
        <v/>
      </c>
      <c r="F287" s="7" t="str">
        <f>IFERROR(INDEX(Players!$H$4:$H$503,MATCH(284,Players!$K$4:$K$503,0)),"")</f>
        <v/>
      </c>
      <c r="G287" s="1" t="str">
        <f>IFERROR(INDEX(Players!$I$4:$I$503,MATCH(284,Players!$K$4:$K$503,0)),"")</f>
        <v/>
      </c>
    </row>
    <row r="288" spans="1:7">
      <c r="A288" s="1" t="str">
        <f>IFERROR(INDEX(Players!$B$4:$B$503,MATCH(285,Players!$K$4:$K$503,0)),"")</f>
        <v/>
      </c>
      <c r="B288" s="1" t="str">
        <f>IFERROR(INDEX(Players!$C$4:$C$503,MATCH(285,Players!$K$4:$K$503,0)),"")</f>
        <v/>
      </c>
      <c r="C288" s="1" t="str">
        <f>IFERROR(INDEX(Players!$D$4:$D$503,MATCH(285,Players!$K$4:$K$503,0)),"")</f>
        <v/>
      </c>
      <c r="D288" s="7" t="str">
        <f>IFERROR(INDEX(Players!$E$4:$E$503,MATCH(285,Players!$K$4:$K$503,0)),"")</f>
        <v/>
      </c>
      <c r="E288" s="1" t="str">
        <f>IFERROR(INDEX(Players!$G$4:$G$503,MATCH(285,Players!$K$4:$K$503,0)),"")</f>
        <v/>
      </c>
      <c r="F288" s="7" t="str">
        <f>IFERROR(INDEX(Players!$H$4:$H$503,MATCH(285,Players!$K$4:$K$503,0)),"")</f>
        <v/>
      </c>
      <c r="G288" s="1" t="str">
        <f>IFERROR(INDEX(Players!$I$4:$I$503,MATCH(285,Players!$K$4:$K$503,0)),"")</f>
        <v/>
      </c>
    </row>
    <row r="289" spans="1:7">
      <c r="A289" s="1" t="str">
        <f>IFERROR(INDEX(Players!$B$4:$B$503,MATCH(286,Players!$K$4:$K$503,0)),"")</f>
        <v/>
      </c>
      <c r="B289" s="1" t="str">
        <f>IFERROR(INDEX(Players!$C$4:$C$503,MATCH(286,Players!$K$4:$K$503,0)),"")</f>
        <v/>
      </c>
      <c r="C289" s="1" t="str">
        <f>IFERROR(INDEX(Players!$D$4:$D$503,MATCH(286,Players!$K$4:$K$503,0)),"")</f>
        <v/>
      </c>
      <c r="D289" s="7" t="str">
        <f>IFERROR(INDEX(Players!$E$4:$E$503,MATCH(286,Players!$K$4:$K$503,0)),"")</f>
        <v/>
      </c>
      <c r="E289" s="1" t="str">
        <f>IFERROR(INDEX(Players!$G$4:$G$503,MATCH(286,Players!$K$4:$K$503,0)),"")</f>
        <v/>
      </c>
      <c r="F289" s="7" t="str">
        <f>IFERROR(INDEX(Players!$H$4:$H$503,MATCH(286,Players!$K$4:$K$503,0)),"")</f>
        <v/>
      </c>
      <c r="G289" s="1" t="str">
        <f>IFERROR(INDEX(Players!$I$4:$I$503,MATCH(286,Players!$K$4:$K$503,0)),"")</f>
        <v/>
      </c>
    </row>
    <row r="290" spans="1:7">
      <c r="A290" s="1" t="str">
        <f>IFERROR(INDEX(Players!$B$4:$B$503,MATCH(287,Players!$K$4:$K$503,0)),"")</f>
        <v/>
      </c>
      <c r="B290" s="1" t="str">
        <f>IFERROR(INDEX(Players!$C$4:$C$503,MATCH(287,Players!$K$4:$K$503,0)),"")</f>
        <v/>
      </c>
      <c r="C290" s="1" t="str">
        <f>IFERROR(INDEX(Players!$D$4:$D$503,MATCH(287,Players!$K$4:$K$503,0)),"")</f>
        <v/>
      </c>
      <c r="D290" s="7" t="str">
        <f>IFERROR(INDEX(Players!$E$4:$E$503,MATCH(287,Players!$K$4:$K$503,0)),"")</f>
        <v/>
      </c>
      <c r="E290" s="1" t="str">
        <f>IFERROR(INDEX(Players!$G$4:$G$503,MATCH(287,Players!$K$4:$K$503,0)),"")</f>
        <v/>
      </c>
      <c r="F290" s="7" t="str">
        <f>IFERROR(INDEX(Players!$H$4:$H$503,MATCH(287,Players!$K$4:$K$503,0)),"")</f>
        <v/>
      </c>
      <c r="G290" s="1" t="str">
        <f>IFERROR(INDEX(Players!$I$4:$I$503,MATCH(287,Players!$K$4:$K$503,0)),"")</f>
        <v/>
      </c>
    </row>
    <row r="291" spans="1:7">
      <c r="A291" s="1" t="str">
        <f>IFERROR(INDEX(Players!$B$4:$B$503,MATCH(288,Players!$K$4:$K$503,0)),"")</f>
        <v/>
      </c>
      <c r="B291" s="1" t="str">
        <f>IFERROR(INDEX(Players!$C$4:$C$503,MATCH(288,Players!$K$4:$K$503,0)),"")</f>
        <v/>
      </c>
      <c r="C291" s="1" t="str">
        <f>IFERROR(INDEX(Players!$D$4:$D$503,MATCH(288,Players!$K$4:$K$503,0)),"")</f>
        <v/>
      </c>
      <c r="D291" s="7" t="str">
        <f>IFERROR(INDEX(Players!$E$4:$E$503,MATCH(288,Players!$K$4:$K$503,0)),"")</f>
        <v/>
      </c>
      <c r="E291" s="1" t="str">
        <f>IFERROR(INDEX(Players!$G$4:$G$503,MATCH(288,Players!$K$4:$K$503,0)),"")</f>
        <v/>
      </c>
      <c r="F291" s="7" t="str">
        <f>IFERROR(INDEX(Players!$H$4:$H$503,MATCH(288,Players!$K$4:$K$503,0)),"")</f>
        <v/>
      </c>
      <c r="G291" s="1" t="str">
        <f>IFERROR(INDEX(Players!$I$4:$I$503,MATCH(288,Players!$K$4:$K$503,0)),"")</f>
        <v/>
      </c>
    </row>
    <row r="292" spans="1:7">
      <c r="A292" s="1" t="str">
        <f>IFERROR(INDEX(Players!$B$4:$B$503,MATCH(289,Players!$K$4:$K$503,0)),"")</f>
        <v/>
      </c>
      <c r="B292" s="1" t="str">
        <f>IFERROR(INDEX(Players!$C$4:$C$503,MATCH(289,Players!$K$4:$K$503,0)),"")</f>
        <v/>
      </c>
      <c r="C292" s="1" t="str">
        <f>IFERROR(INDEX(Players!$D$4:$D$503,MATCH(289,Players!$K$4:$K$503,0)),"")</f>
        <v/>
      </c>
      <c r="D292" s="7" t="str">
        <f>IFERROR(INDEX(Players!$E$4:$E$503,MATCH(289,Players!$K$4:$K$503,0)),"")</f>
        <v/>
      </c>
      <c r="E292" s="1" t="str">
        <f>IFERROR(INDEX(Players!$G$4:$G$503,MATCH(289,Players!$K$4:$K$503,0)),"")</f>
        <v/>
      </c>
      <c r="F292" s="7" t="str">
        <f>IFERROR(INDEX(Players!$H$4:$H$503,MATCH(289,Players!$K$4:$K$503,0)),"")</f>
        <v/>
      </c>
      <c r="G292" s="1" t="str">
        <f>IFERROR(INDEX(Players!$I$4:$I$503,MATCH(289,Players!$K$4:$K$503,0)),"")</f>
        <v/>
      </c>
    </row>
    <row r="293" spans="1:7">
      <c r="A293" s="1" t="str">
        <f>IFERROR(INDEX(Players!$B$4:$B$503,MATCH(290,Players!$K$4:$K$503,0)),"")</f>
        <v/>
      </c>
      <c r="B293" s="1" t="str">
        <f>IFERROR(INDEX(Players!$C$4:$C$503,MATCH(290,Players!$K$4:$K$503,0)),"")</f>
        <v/>
      </c>
      <c r="C293" s="1" t="str">
        <f>IFERROR(INDEX(Players!$D$4:$D$503,MATCH(290,Players!$K$4:$K$503,0)),"")</f>
        <v/>
      </c>
      <c r="D293" s="7" t="str">
        <f>IFERROR(INDEX(Players!$E$4:$E$503,MATCH(290,Players!$K$4:$K$503,0)),"")</f>
        <v/>
      </c>
      <c r="E293" s="1" t="str">
        <f>IFERROR(INDEX(Players!$G$4:$G$503,MATCH(290,Players!$K$4:$K$503,0)),"")</f>
        <v/>
      </c>
      <c r="F293" s="7" t="str">
        <f>IFERROR(INDEX(Players!$H$4:$H$503,MATCH(290,Players!$K$4:$K$503,0)),"")</f>
        <v/>
      </c>
      <c r="G293" s="1" t="str">
        <f>IFERROR(INDEX(Players!$I$4:$I$503,MATCH(290,Players!$K$4:$K$503,0)),"")</f>
        <v/>
      </c>
    </row>
    <row r="294" spans="1:7">
      <c r="A294" s="1" t="str">
        <f>IFERROR(INDEX(Players!$B$4:$B$503,MATCH(291,Players!$K$4:$K$503,0)),"")</f>
        <v/>
      </c>
      <c r="B294" s="1" t="str">
        <f>IFERROR(INDEX(Players!$C$4:$C$503,MATCH(291,Players!$K$4:$K$503,0)),"")</f>
        <v/>
      </c>
      <c r="C294" s="1" t="str">
        <f>IFERROR(INDEX(Players!$D$4:$D$503,MATCH(291,Players!$K$4:$K$503,0)),"")</f>
        <v/>
      </c>
      <c r="D294" s="7" t="str">
        <f>IFERROR(INDEX(Players!$E$4:$E$503,MATCH(291,Players!$K$4:$K$503,0)),"")</f>
        <v/>
      </c>
      <c r="E294" s="1" t="str">
        <f>IFERROR(INDEX(Players!$G$4:$G$503,MATCH(291,Players!$K$4:$K$503,0)),"")</f>
        <v/>
      </c>
      <c r="F294" s="7" t="str">
        <f>IFERROR(INDEX(Players!$H$4:$H$503,MATCH(291,Players!$K$4:$K$503,0)),"")</f>
        <v/>
      </c>
      <c r="G294" s="1" t="str">
        <f>IFERROR(INDEX(Players!$I$4:$I$503,MATCH(291,Players!$K$4:$K$503,0)),"")</f>
        <v/>
      </c>
    </row>
    <row r="295" spans="1:7">
      <c r="A295" s="1" t="str">
        <f>IFERROR(INDEX(Players!$B$4:$B$503,MATCH(292,Players!$K$4:$K$503,0)),"")</f>
        <v/>
      </c>
      <c r="B295" s="1" t="str">
        <f>IFERROR(INDEX(Players!$C$4:$C$503,MATCH(292,Players!$K$4:$K$503,0)),"")</f>
        <v/>
      </c>
      <c r="C295" s="1" t="str">
        <f>IFERROR(INDEX(Players!$D$4:$D$503,MATCH(292,Players!$K$4:$K$503,0)),"")</f>
        <v/>
      </c>
      <c r="D295" s="7" t="str">
        <f>IFERROR(INDEX(Players!$E$4:$E$503,MATCH(292,Players!$K$4:$K$503,0)),"")</f>
        <v/>
      </c>
      <c r="E295" s="1" t="str">
        <f>IFERROR(INDEX(Players!$G$4:$G$503,MATCH(292,Players!$K$4:$K$503,0)),"")</f>
        <v/>
      </c>
      <c r="F295" s="7" t="str">
        <f>IFERROR(INDEX(Players!$H$4:$H$503,MATCH(292,Players!$K$4:$K$503,0)),"")</f>
        <v/>
      </c>
      <c r="G295" s="1" t="str">
        <f>IFERROR(INDEX(Players!$I$4:$I$503,MATCH(292,Players!$K$4:$K$503,0)),"")</f>
        <v/>
      </c>
    </row>
    <row r="296" spans="1:7">
      <c r="A296" s="1" t="str">
        <f>IFERROR(INDEX(Players!$B$4:$B$503,MATCH(293,Players!$K$4:$K$503,0)),"")</f>
        <v/>
      </c>
      <c r="B296" s="1" t="str">
        <f>IFERROR(INDEX(Players!$C$4:$C$503,MATCH(293,Players!$K$4:$K$503,0)),"")</f>
        <v/>
      </c>
      <c r="C296" s="1" t="str">
        <f>IFERROR(INDEX(Players!$D$4:$D$503,MATCH(293,Players!$K$4:$K$503,0)),"")</f>
        <v/>
      </c>
      <c r="D296" s="7" t="str">
        <f>IFERROR(INDEX(Players!$E$4:$E$503,MATCH(293,Players!$K$4:$K$503,0)),"")</f>
        <v/>
      </c>
      <c r="E296" s="1" t="str">
        <f>IFERROR(INDEX(Players!$G$4:$G$503,MATCH(293,Players!$K$4:$K$503,0)),"")</f>
        <v/>
      </c>
      <c r="F296" s="7" t="str">
        <f>IFERROR(INDEX(Players!$H$4:$H$503,MATCH(293,Players!$K$4:$K$503,0)),"")</f>
        <v/>
      </c>
      <c r="G296" s="1" t="str">
        <f>IFERROR(INDEX(Players!$I$4:$I$503,MATCH(293,Players!$K$4:$K$503,0)),"")</f>
        <v/>
      </c>
    </row>
    <row r="297" spans="1:7">
      <c r="A297" s="1" t="str">
        <f>IFERROR(INDEX(Players!$B$4:$B$503,MATCH(294,Players!$K$4:$K$503,0)),"")</f>
        <v/>
      </c>
      <c r="B297" s="1" t="str">
        <f>IFERROR(INDEX(Players!$C$4:$C$503,MATCH(294,Players!$K$4:$K$503,0)),"")</f>
        <v/>
      </c>
      <c r="C297" s="1" t="str">
        <f>IFERROR(INDEX(Players!$D$4:$D$503,MATCH(294,Players!$K$4:$K$503,0)),"")</f>
        <v/>
      </c>
      <c r="D297" s="7" t="str">
        <f>IFERROR(INDEX(Players!$E$4:$E$503,MATCH(294,Players!$K$4:$K$503,0)),"")</f>
        <v/>
      </c>
      <c r="E297" s="1" t="str">
        <f>IFERROR(INDEX(Players!$G$4:$G$503,MATCH(294,Players!$K$4:$K$503,0)),"")</f>
        <v/>
      </c>
      <c r="F297" s="7" t="str">
        <f>IFERROR(INDEX(Players!$H$4:$H$503,MATCH(294,Players!$K$4:$K$503,0)),"")</f>
        <v/>
      </c>
      <c r="G297" s="1" t="str">
        <f>IFERROR(INDEX(Players!$I$4:$I$503,MATCH(294,Players!$K$4:$K$503,0)),"")</f>
        <v/>
      </c>
    </row>
    <row r="298" spans="1:7">
      <c r="A298" s="1" t="str">
        <f>IFERROR(INDEX(Players!$B$4:$B$503,MATCH(295,Players!$K$4:$K$503,0)),"")</f>
        <v/>
      </c>
      <c r="B298" s="1" t="str">
        <f>IFERROR(INDEX(Players!$C$4:$C$503,MATCH(295,Players!$K$4:$K$503,0)),"")</f>
        <v/>
      </c>
      <c r="C298" s="1" t="str">
        <f>IFERROR(INDEX(Players!$D$4:$D$503,MATCH(295,Players!$K$4:$K$503,0)),"")</f>
        <v/>
      </c>
      <c r="D298" s="7" t="str">
        <f>IFERROR(INDEX(Players!$E$4:$E$503,MATCH(295,Players!$K$4:$K$503,0)),"")</f>
        <v/>
      </c>
      <c r="E298" s="1" t="str">
        <f>IFERROR(INDEX(Players!$G$4:$G$503,MATCH(295,Players!$K$4:$K$503,0)),"")</f>
        <v/>
      </c>
      <c r="F298" s="7" t="str">
        <f>IFERROR(INDEX(Players!$H$4:$H$503,MATCH(295,Players!$K$4:$K$503,0)),"")</f>
        <v/>
      </c>
      <c r="G298" s="1" t="str">
        <f>IFERROR(INDEX(Players!$I$4:$I$503,MATCH(295,Players!$K$4:$K$503,0)),"")</f>
        <v/>
      </c>
    </row>
    <row r="299" spans="1:7">
      <c r="A299" s="1" t="str">
        <f>IFERROR(INDEX(Players!$B$4:$B$503,MATCH(296,Players!$K$4:$K$503,0)),"")</f>
        <v/>
      </c>
      <c r="B299" s="1" t="str">
        <f>IFERROR(INDEX(Players!$C$4:$C$503,MATCH(296,Players!$K$4:$K$503,0)),"")</f>
        <v/>
      </c>
      <c r="C299" s="1" t="str">
        <f>IFERROR(INDEX(Players!$D$4:$D$503,MATCH(296,Players!$K$4:$K$503,0)),"")</f>
        <v/>
      </c>
      <c r="D299" s="7" t="str">
        <f>IFERROR(INDEX(Players!$E$4:$E$503,MATCH(296,Players!$K$4:$K$503,0)),"")</f>
        <v/>
      </c>
      <c r="E299" s="1" t="str">
        <f>IFERROR(INDEX(Players!$G$4:$G$503,MATCH(296,Players!$K$4:$K$503,0)),"")</f>
        <v/>
      </c>
      <c r="F299" s="7" t="str">
        <f>IFERROR(INDEX(Players!$H$4:$H$503,MATCH(296,Players!$K$4:$K$503,0)),"")</f>
        <v/>
      </c>
      <c r="G299" s="1" t="str">
        <f>IFERROR(INDEX(Players!$I$4:$I$503,MATCH(296,Players!$K$4:$K$503,0)),"")</f>
        <v/>
      </c>
    </row>
    <row r="300" spans="1:7">
      <c r="A300" s="1" t="str">
        <f>IFERROR(INDEX(Players!$B$4:$B$503,MATCH(297,Players!$K$4:$K$503,0)),"")</f>
        <v/>
      </c>
      <c r="B300" s="1" t="str">
        <f>IFERROR(INDEX(Players!$C$4:$C$503,MATCH(297,Players!$K$4:$K$503,0)),"")</f>
        <v/>
      </c>
      <c r="C300" s="1" t="str">
        <f>IFERROR(INDEX(Players!$D$4:$D$503,MATCH(297,Players!$K$4:$K$503,0)),"")</f>
        <v/>
      </c>
      <c r="D300" s="7" t="str">
        <f>IFERROR(INDEX(Players!$E$4:$E$503,MATCH(297,Players!$K$4:$K$503,0)),"")</f>
        <v/>
      </c>
      <c r="E300" s="1" t="str">
        <f>IFERROR(INDEX(Players!$G$4:$G$503,MATCH(297,Players!$K$4:$K$503,0)),"")</f>
        <v/>
      </c>
      <c r="F300" s="7" t="str">
        <f>IFERROR(INDEX(Players!$H$4:$H$503,MATCH(297,Players!$K$4:$K$503,0)),"")</f>
        <v/>
      </c>
      <c r="G300" s="1" t="str">
        <f>IFERROR(INDEX(Players!$I$4:$I$503,MATCH(297,Players!$K$4:$K$503,0)),"")</f>
        <v/>
      </c>
    </row>
    <row r="301" spans="1:7">
      <c r="A301" s="1" t="str">
        <f>IFERROR(INDEX(Players!$B$4:$B$503,MATCH(298,Players!$K$4:$K$503,0)),"")</f>
        <v/>
      </c>
      <c r="B301" s="1" t="str">
        <f>IFERROR(INDEX(Players!$C$4:$C$503,MATCH(298,Players!$K$4:$K$503,0)),"")</f>
        <v/>
      </c>
      <c r="C301" s="1" t="str">
        <f>IFERROR(INDEX(Players!$D$4:$D$503,MATCH(298,Players!$K$4:$K$503,0)),"")</f>
        <v/>
      </c>
      <c r="D301" s="7" t="str">
        <f>IFERROR(INDEX(Players!$E$4:$E$503,MATCH(298,Players!$K$4:$K$503,0)),"")</f>
        <v/>
      </c>
      <c r="E301" s="1" t="str">
        <f>IFERROR(INDEX(Players!$G$4:$G$503,MATCH(298,Players!$K$4:$K$503,0)),"")</f>
        <v/>
      </c>
      <c r="F301" s="7" t="str">
        <f>IFERROR(INDEX(Players!$H$4:$H$503,MATCH(298,Players!$K$4:$K$503,0)),"")</f>
        <v/>
      </c>
      <c r="G301" s="1" t="str">
        <f>IFERROR(INDEX(Players!$I$4:$I$503,MATCH(298,Players!$K$4:$K$503,0)),"")</f>
        <v/>
      </c>
    </row>
    <row r="302" spans="1:7">
      <c r="A302" s="1" t="str">
        <f>IFERROR(INDEX(Players!$B$4:$B$503,MATCH(299,Players!$K$4:$K$503,0)),"")</f>
        <v/>
      </c>
      <c r="B302" s="1" t="str">
        <f>IFERROR(INDEX(Players!$C$4:$C$503,MATCH(299,Players!$K$4:$K$503,0)),"")</f>
        <v/>
      </c>
      <c r="C302" s="1" t="str">
        <f>IFERROR(INDEX(Players!$D$4:$D$503,MATCH(299,Players!$K$4:$K$503,0)),"")</f>
        <v/>
      </c>
      <c r="D302" s="7" t="str">
        <f>IFERROR(INDEX(Players!$E$4:$E$503,MATCH(299,Players!$K$4:$K$503,0)),"")</f>
        <v/>
      </c>
      <c r="E302" s="1" t="str">
        <f>IFERROR(INDEX(Players!$G$4:$G$503,MATCH(299,Players!$K$4:$K$503,0)),"")</f>
        <v/>
      </c>
      <c r="F302" s="7" t="str">
        <f>IFERROR(INDEX(Players!$H$4:$H$503,MATCH(299,Players!$K$4:$K$503,0)),"")</f>
        <v/>
      </c>
      <c r="G302" s="1" t="str">
        <f>IFERROR(INDEX(Players!$I$4:$I$503,MATCH(299,Players!$K$4:$K$503,0)),"")</f>
        <v/>
      </c>
    </row>
    <row r="303" spans="1:7">
      <c r="A303" s="1" t="str">
        <f>IFERROR(INDEX(Players!$B$4:$B$503,MATCH(300,Players!$K$4:$K$503,0)),"")</f>
        <v/>
      </c>
      <c r="B303" s="1" t="str">
        <f>IFERROR(INDEX(Players!$C$4:$C$503,MATCH(300,Players!$K$4:$K$503,0)),"")</f>
        <v/>
      </c>
      <c r="C303" s="1" t="str">
        <f>IFERROR(INDEX(Players!$D$4:$D$503,MATCH(300,Players!$K$4:$K$503,0)),"")</f>
        <v/>
      </c>
      <c r="D303" s="7" t="str">
        <f>IFERROR(INDEX(Players!$E$4:$E$503,MATCH(300,Players!$K$4:$K$503,0)),"")</f>
        <v/>
      </c>
      <c r="E303" s="1" t="str">
        <f>IFERROR(INDEX(Players!$G$4:$G$503,MATCH(300,Players!$K$4:$K$503,0)),"")</f>
        <v/>
      </c>
      <c r="F303" s="7" t="str">
        <f>IFERROR(INDEX(Players!$H$4:$H$503,MATCH(300,Players!$K$4:$K$503,0)),"")</f>
        <v/>
      </c>
      <c r="G303" s="1" t="str">
        <f>IFERROR(INDEX(Players!$I$4:$I$503,MATCH(300,Players!$K$4:$K$503,0)),"")</f>
        <v/>
      </c>
    </row>
    <row r="304" spans="1:7">
      <c r="A304" s="1" t="str">
        <f>IFERROR(INDEX(Players!$B$4:$B$503,MATCH(301,Players!$K$4:$K$503,0)),"")</f>
        <v/>
      </c>
      <c r="B304" s="1" t="str">
        <f>IFERROR(INDEX(Players!$C$4:$C$503,MATCH(301,Players!$K$4:$K$503,0)),"")</f>
        <v/>
      </c>
      <c r="C304" s="1" t="str">
        <f>IFERROR(INDEX(Players!$D$4:$D$503,MATCH(301,Players!$K$4:$K$503,0)),"")</f>
        <v/>
      </c>
      <c r="D304" s="7" t="str">
        <f>IFERROR(INDEX(Players!$E$4:$E$503,MATCH(301,Players!$K$4:$K$503,0)),"")</f>
        <v/>
      </c>
      <c r="E304" s="1" t="str">
        <f>IFERROR(INDEX(Players!$G$4:$G$503,MATCH(301,Players!$K$4:$K$503,0)),"")</f>
        <v/>
      </c>
      <c r="F304" s="7" t="str">
        <f>IFERROR(INDEX(Players!$H$4:$H$503,MATCH(301,Players!$K$4:$K$503,0)),"")</f>
        <v/>
      </c>
      <c r="G304" s="1" t="str">
        <f>IFERROR(INDEX(Players!$I$4:$I$503,MATCH(301,Players!$K$4:$K$503,0)),"")</f>
        <v/>
      </c>
    </row>
    <row r="305" spans="1:7">
      <c r="A305" s="1" t="str">
        <f>IFERROR(INDEX(Players!$B$4:$B$503,MATCH(302,Players!$K$4:$K$503,0)),"")</f>
        <v/>
      </c>
      <c r="B305" s="1" t="str">
        <f>IFERROR(INDEX(Players!$C$4:$C$503,MATCH(302,Players!$K$4:$K$503,0)),"")</f>
        <v/>
      </c>
      <c r="C305" s="1" t="str">
        <f>IFERROR(INDEX(Players!$D$4:$D$503,MATCH(302,Players!$K$4:$K$503,0)),"")</f>
        <v/>
      </c>
      <c r="D305" s="7" t="str">
        <f>IFERROR(INDEX(Players!$E$4:$E$503,MATCH(302,Players!$K$4:$K$503,0)),"")</f>
        <v/>
      </c>
      <c r="E305" s="1" t="str">
        <f>IFERROR(INDEX(Players!$G$4:$G$503,MATCH(302,Players!$K$4:$K$503,0)),"")</f>
        <v/>
      </c>
      <c r="F305" s="7" t="str">
        <f>IFERROR(INDEX(Players!$H$4:$H$503,MATCH(302,Players!$K$4:$K$503,0)),"")</f>
        <v/>
      </c>
      <c r="G305" s="1" t="str">
        <f>IFERROR(INDEX(Players!$I$4:$I$503,MATCH(302,Players!$K$4:$K$503,0)),"")</f>
        <v/>
      </c>
    </row>
    <row r="306" spans="1:7">
      <c r="A306" s="1" t="str">
        <f>IFERROR(INDEX(Players!$B$4:$B$503,MATCH(303,Players!$K$4:$K$503,0)),"")</f>
        <v/>
      </c>
      <c r="B306" s="1" t="str">
        <f>IFERROR(INDEX(Players!$C$4:$C$503,MATCH(303,Players!$K$4:$K$503,0)),"")</f>
        <v/>
      </c>
      <c r="C306" s="1" t="str">
        <f>IFERROR(INDEX(Players!$D$4:$D$503,MATCH(303,Players!$K$4:$K$503,0)),"")</f>
        <v/>
      </c>
      <c r="D306" s="7" t="str">
        <f>IFERROR(INDEX(Players!$E$4:$E$503,MATCH(303,Players!$K$4:$K$503,0)),"")</f>
        <v/>
      </c>
      <c r="E306" s="1" t="str">
        <f>IFERROR(INDEX(Players!$G$4:$G$503,MATCH(303,Players!$K$4:$K$503,0)),"")</f>
        <v/>
      </c>
      <c r="F306" s="7" t="str">
        <f>IFERROR(INDEX(Players!$H$4:$H$503,MATCH(303,Players!$K$4:$K$503,0)),"")</f>
        <v/>
      </c>
      <c r="G306" s="1" t="str">
        <f>IFERROR(INDEX(Players!$I$4:$I$503,MATCH(303,Players!$K$4:$K$503,0)),"")</f>
        <v/>
      </c>
    </row>
    <row r="307" spans="1:7">
      <c r="A307" s="1" t="str">
        <f>IFERROR(INDEX(Players!$B$4:$B$503,MATCH(304,Players!$K$4:$K$503,0)),"")</f>
        <v/>
      </c>
      <c r="B307" s="1" t="str">
        <f>IFERROR(INDEX(Players!$C$4:$C$503,MATCH(304,Players!$K$4:$K$503,0)),"")</f>
        <v/>
      </c>
      <c r="C307" s="1" t="str">
        <f>IFERROR(INDEX(Players!$D$4:$D$503,MATCH(304,Players!$K$4:$K$503,0)),"")</f>
        <v/>
      </c>
      <c r="D307" s="7" t="str">
        <f>IFERROR(INDEX(Players!$E$4:$E$503,MATCH(304,Players!$K$4:$K$503,0)),"")</f>
        <v/>
      </c>
      <c r="E307" s="1" t="str">
        <f>IFERROR(INDEX(Players!$G$4:$G$503,MATCH(304,Players!$K$4:$K$503,0)),"")</f>
        <v/>
      </c>
      <c r="F307" s="7" t="str">
        <f>IFERROR(INDEX(Players!$H$4:$H$503,MATCH(304,Players!$K$4:$K$503,0)),"")</f>
        <v/>
      </c>
      <c r="G307" s="1" t="str">
        <f>IFERROR(INDEX(Players!$I$4:$I$503,MATCH(304,Players!$K$4:$K$503,0)),"")</f>
        <v/>
      </c>
    </row>
    <row r="308" spans="1:7">
      <c r="A308" s="1" t="str">
        <f>IFERROR(INDEX(Players!$B$4:$B$503,MATCH(305,Players!$K$4:$K$503,0)),"")</f>
        <v/>
      </c>
      <c r="B308" s="1" t="str">
        <f>IFERROR(INDEX(Players!$C$4:$C$503,MATCH(305,Players!$K$4:$K$503,0)),"")</f>
        <v/>
      </c>
      <c r="C308" s="1" t="str">
        <f>IFERROR(INDEX(Players!$D$4:$D$503,MATCH(305,Players!$K$4:$K$503,0)),"")</f>
        <v/>
      </c>
      <c r="D308" s="7" t="str">
        <f>IFERROR(INDEX(Players!$E$4:$E$503,MATCH(305,Players!$K$4:$K$503,0)),"")</f>
        <v/>
      </c>
      <c r="E308" s="1" t="str">
        <f>IFERROR(INDEX(Players!$G$4:$G$503,MATCH(305,Players!$K$4:$K$503,0)),"")</f>
        <v/>
      </c>
      <c r="F308" s="7" t="str">
        <f>IFERROR(INDEX(Players!$H$4:$H$503,MATCH(305,Players!$K$4:$K$503,0)),"")</f>
        <v/>
      </c>
      <c r="G308" s="1" t="str">
        <f>IFERROR(INDEX(Players!$I$4:$I$503,MATCH(305,Players!$K$4:$K$503,0)),"")</f>
        <v/>
      </c>
    </row>
    <row r="309" spans="1:7">
      <c r="A309" s="1" t="str">
        <f>IFERROR(INDEX(Players!$B$4:$B$503,MATCH(306,Players!$K$4:$K$503,0)),"")</f>
        <v/>
      </c>
      <c r="B309" s="1" t="str">
        <f>IFERROR(INDEX(Players!$C$4:$C$503,MATCH(306,Players!$K$4:$K$503,0)),"")</f>
        <v/>
      </c>
      <c r="C309" s="1" t="str">
        <f>IFERROR(INDEX(Players!$D$4:$D$503,MATCH(306,Players!$K$4:$K$503,0)),"")</f>
        <v/>
      </c>
      <c r="D309" s="7" t="str">
        <f>IFERROR(INDEX(Players!$E$4:$E$503,MATCH(306,Players!$K$4:$K$503,0)),"")</f>
        <v/>
      </c>
      <c r="E309" s="1" t="str">
        <f>IFERROR(INDEX(Players!$G$4:$G$503,MATCH(306,Players!$K$4:$K$503,0)),"")</f>
        <v/>
      </c>
      <c r="F309" s="7" t="str">
        <f>IFERROR(INDEX(Players!$H$4:$H$503,MATCH(306,Players!$K$4:$K$503,0)),"")</f>
        <v/>
      </c>
      <c r="G309" s="1" t="str">
        <f>IFERROR(INDEX(Players!$I$4:$I$503,MATCH(306,Players!$K$4:$K$503,0)),"")</f>
        <v/>
      </c>
    </row>
    <row r="310" spans="1:7">
      <c r="A310" s="1" t="str">
        <f>IFERROR(INDEX(Players!$B$4:$B$503,MATCH(307,Players!$K$4:$K$503,0)),"")</f>
        <v/>
      </c>
      <c r="B310" s="1" t="str">
        <f>IFERROR(INDEX(Players!$C$4:$C$503,MATCH(307,Players!$K$4:$K$503,0)),"")</f>
        <v/>
      </c>
      <c r="C310" s="1" t="str">
        <f>IFERROR(INDEX(Players!$D$4:$D$503,MATCH(307,Players!$K$4:$K$503,0)),"")</f>
        <v/>
      </c>
      <c r="D310" s="7" t="str">
        <f>IFERROR(INDEX(Players!$E$4:$E$503,MATCH(307,Players!$K$4:$K$503,0)),"")</f>
        <v/>
      </c>
      <c r="E310" s="1" t="str">
        <f>IFERROR(INDEX(Players!$G$4:$G$503,MATCH(307,Players!$K$4:$K$503,0)),"")</f>
        <v/>
      </c>
      <c r="F310" s="7" t="str">
        <f>IFERROR(INDEX(Players!$H$4:$H$503,MATCH(307,Players!$K$4:$K$503,0)),"")</f>
        <v/>
      </c>
      <c r="G310" s="1" t="str">
        <f>IFERROR(INDEX(Players!$I$4:$I$503,MATCH(307,Players!$K$4:$K$503,0)),"")</f>
        <v/>
      </c>
    </row>
    <row r="311" spans="1:7">
      <c r="A311" s="1" t="str">
        <f>IFERROR(INDEX(Players!$B$4:$B$503,MATCH(308,Players!$K$4:$K$503,0)),"")</f>
        <v/>
      </c>
      <c r="B311" s="1" t="str">
        <f>IFERROR(INDEX(Players!$C$4:$C$503,MATCH(308,Players!$K$4:$K$503,0)),"")</f>
        <v/>
      </c>
      <c r="C311" s="1" t="str">
        <f>IFERROR(INDEX(Players!$D$4:$D$503,MATCH(308,Players!$K$4:$K$503,0)),"")</f>
        <v/>
      </c>
      <c r="D311" s="7" t="str">
        <f>IFERROR(INDEX(Players!$E$4:$E$503,MATCH(308,Players!$K$4:$K$503,0)),"")</f>
        <v/>
      </c>
      <c r="E311" s="1" t="str">
        <f>IFERROR(INDEX(Players!$G$4:$G$503,MATCH(308,Players!$K$4:$K$503,0)),"")</f>
        <v/>
      </c>
      <c r="F311" s="7" t="str">
        <f>IFERROR(INDEX(Players!$H$4:$H$503,MATCH(308,Players!$K$4:$K$503,0)),"")</f>
        <v/>
      </c>
      <c r="G311" s="1" t="str">
        <f>IFERROR(INDEX(Players!$I$4:$I$503,MATCH(308,Players!$K$4:$K$503,0)),"")</f>
        <v/>
      </c>
    </row>
    <row r="312" spans="1:7">
      <c r="A312" s="1" t="str">
        <f>IFERROR(INDEX(Players!$B$4:$B$503,MATCH(309,Players!$K$4:$K$503,0)),"")</f>
        <v/>
      </c>
      <c r="B312" s="1" t="str">
        <f>IFERROR(INDEX(Players!$C$4:$C$503,MATCH(309,Players!$K$4:$K$503,0)),"")</f>
        <v/>
      </c>
      <c r="C312" s="1" t="str">
        <f>IFERROR(INDEX(Players!$D$4:$D$503,MATCH(309,Players!$K$4:$K$503,0)),"")</f>
        <v/>
      </c>
      <c r="D312" s="7" t="str">
        <f>IFERROR(INDEX(Players!$E$4:$E$503,MATCH(309,Players!$K$4:$K$503,0)),"")</f>
        <v/>
      </c>
      <c r="E312" s="1" t="str">
        <f>IFERROR(INDEX(Players!$G$4:$G$503,MATCH(309,Players!$K$4:$K$503,0)),"")</f>
        <v/>
      </c>
      <c r="F312" s="7" t="str">
        <f>IFERROR(INDEX(Players!$H$4:$H$503,MATCH(309,Players!$K$4:$K$503,0)),"")</f>
        <v/>
      </c>
      <c r="G312" s="1" t="str">
        <f>IFERROR(INDEX(Players!$I$4:$I$503,MATCH(309,Players!$K$4:$K$503,0)),"")</f>
        <v/>
      </c>
    </row>
    <row r="313" spans="1:7">
      <c r="A313" s="1" t="str">
        <f>IFERROR(INDEX(Players!$B$4:$B$503,MATCH(310,Players!$K$4:$K$503,0)),"")</f>
        <v/>
      </c>
      <c r="B313" s="1" t="str">
        <f>IFERROR(INDEX(Players!$C$4:$C$503,MATCH(310,Players!$K$4:$K$503,0)),"")</f>
        <v/>
      </c>
      <c r="C313" s="1" t="str">
        <f>IFERROR(INDEX(Players!$D$4:$D$503,MATCH(310,Players!$K$4:$K$503,0)),"")</f>
        <v/>
      </c>
      <c r="D313" s="7" t="str">
        <f>IFERROR(INDEX(Players!$E$4:$E$503,MATCH(310,Players!$K$4:$K$503,0)),"")</f>
        <v/>
      </c>
      <c r="E313" s="1" t="str">
        <f>IFERROR(INDEX(Players!$G$4:$G$503,MATCH(310,Players!$K$4:$K$503,0)),"")</f>
        <v/>
      </c>
      <c r="F313" s="7" t="str">
        <f>IFERROR(INDEX(Players!$H$4:$H$503,MATCH(310,Players!$K$4:$K$503,0)),"")</f>
        <v/>
      </c>
      <c r="G313" s="1" t="str">
        <f>IFERROR(INDEX(Players!$I$4:$I$503,MATCH(310,Players!$K$4:$K$503,0)),"")</f>
        <v/>
      </c>
    </row>
    <row r="314" spans="1:7">
      <c r="A314" s="1" t="str">
        <f>IFERROR(INDEX(Players!$B$4:$B$503,MATCH(311,Players!$K$4:$K$503,0)),"")</f>
        <v/>
      </c>
      <c r="B314" s="1" t="str">
        <f>IFERROR(INDEX(Players!$C$4:$C$503,MATCH(311,Players!$K$4:$K$503,0)),"")</f>
        <v/>
      </c>
      <c r="C314" s="1" t="str">
        <f>IFERROR(INDEX(Players!$D$4:$D$503,MATCH(311,Players!$K$4:$K$503,0)),"")</f>
        <v/>
      </c>
      <c r="D314" s="7" t="str">
        <f>IFERROR(INDEX(Players!$E$4:$E$503,MATCH(311,Players!$K$4:$K$503,0)),"")</f>
        <v/>
      </c>
      <c r="E314" s="1" t="str">
        <f>IFERROR(INDEX(Players!$G$4:$G$503,MATCH(311,Players!$K$4:$K$503,0)),"")</f>
        <v/>
      </c>
      <c r="F314" s="7" t="str">
        <f>IFERROR(INDEX(Players!$H$4:$H$503,MATCH(311,Players!$K$4:$K$503,0)),"")</f>
        <v/>
      </c>
      <c r="G314" s="1" t="str">
        <f>IFERROR(INDEX(Players!$I$4:$I$503,MATCH(311,Players!$K$4:$K$503,0)),"")</f>
        <v/>
      </c>
    </row>
    <row r="315" spans="1:7">
      <c r="A315" s="1" t="str">
        <f>IFERROR(INDEX(Players!$B$4:$B$503,MATCH(312,Players!$K$4:$K$503,0)),"")</f>
        <v/>
      </c>
      <c r="B315" s="1" t="str">
        <f>IFERROR(INDEX(Players!$C$4:$C$503,MATCH(312,Players!$K$4:$K$503,0)),"")</f>
        <v/>
      </c>
      <c r="C315" s="1" t="str">
        <f>IFERROR(INDEX(Players!$D$4:$D$503,MATCH(312,Players!$K$4:$K$503,0)),"")</f>
        <v/>
      </c>
      <c r="D315" s="7" t="str">
        <f>IFERROR(INDEX(Players!$E$4:$E$503,MATCH(312,Players!$K$4:$K$503,0)),"")</f>
        <v/>
      </c>
      <c r="E315" s="1" t="str">
        <f>IFERROR(INDEX(Players!$G$4:$G$503,MATCH(312,Players!$K$4:$K$503,0)),"")</f>
        <v/>
      </c>
      <c r="F315" s="7" t="str">
        <f>IFERROR(INDEX(Players!$H$4:$H$503,MATCH(312,Players!$K$4:$K$503,0)),"")</f>
        <v/>
      </c>
      <c r="G315" s="1" t="str">
        <f>IFERROR(INDEX(Players!$I$4:$I$503,MATCH(312,Players!$K$4:$K$503,0)),"")</f>
        <v/>
      </c>
    </row>
    <row r="316" spans="1:7">
      <c r="A316" s="1" t="str">
        <f>IFERROR(INDEX(Players!$B$4:$B$503,MATCH(313,Players!$K$4:$K$503,0)),"")</f>
        <v/>
      </c>
      <c r="B316" s="1" t="str">
        <f>IFERROR(INDEX(Players!$C$4:$C$503,MATCH(313,Players!$K$4:$K$503,0)),"")</f>
        <v/>
      </c>
      <c r="C316" s="1" t="str">
        <f>IFERROR(INDEX(Players!$D$4:$D$503,MATCH(313,Players!$K$4:$K$503,0)),"")</f>
        <v/>
      </c>
      <c r="D316" s="7" t="str">
        <f>IFERROR(INDEX(Players!$E$4:$E$503,MATCH(313,Players!$K$4:$K$503,0)),"")</f>
        <v/>
      </c>
      <c r="E316" s="1" t="str">
        <f>IFERROR(INDEX(Players!$G$4:$G$503,MATCH(313,Players!$K$4:$K$503,0)),"")</f>
        <v/>
      </c>
      <c r="F316" s="7" t="str">
        <f>IFERROR(INDEX(Players!$H$4:$H$503,MATCH(313,Players!$K$4:$K$503,0)),"")</f>
        <v/>
      </c>
      <c r="G316" s="1" t="str">
        <f>IFERROR(INDEX(Players!$I$4:$I$503,MATCH(313,Players!$K$4:$K$503,0)),"")</f>
        <v/>
      </c>
    </row>
    <row r="317" spans="1:7">
      <c r="A317" s="1" t="str">
        <f>IFERROR(INDEX(Players!$B$4:$B$503,MATCH(314,Players!$K$4:$K$503,0)),"")</f>
        <v/>
      </c>
      <c r="B317" s="1" t="str">
        <f>IFERROR(INDEX(Players!$C$4:$C$503,MATCH(314,Players!$K$4:$K$503,0)),"")</f>
        <v/>
      </c>
      <c r="C317" s="1" t="str">
        <f>IFERROR(INDEX(Players!$D$4:$D$503,MATCH(314,Players!$K$4:$K$503,0)),"")</f>
        <v/>
      </c>
      <c r="D317" s="7" t="str">
        <f>IFERROR(INDEX(Players!$E$4:$E$503,MATCH(314,Players!$K$4:$K$503,0)),"")</f>
        <v/>
      </c>
      <c r="E317" s="1" t="str">
        <f>IFERROR(INDEX(Players!$G$4:$G$503,MATCH(314,Players!$K$4:$K$503,0)),"")</f>
        <v/>
      </c>
      <c r="F317" s="7" t="str">
        <f>IFERROR(INDEX(Players!$H$4:$H$503,MATCH(314,Players!$K$4:$K$503,0)),"")</f>
        <v/>
      </c>
      <c r="G317" s="1" t="str">
        <f>IFERROR(INDEX(Players!$I$4:$I$503,MATCH(314,Players!$K$4:$K$503,0)),"")</f>
        <v/>
      </c>
    </row>
    <row r="318" spans="1:7">
      <c r="A318" s="1" t="str">
        <f>IFERROR(INDEX(Players!$B$4:$B$503,MATCH(315,Players!$K$4:$K$503,0)),"")</f>
        <v/>
      </c>
      <c r="B318" s="1" t="str">
        <f>IFERROR(INDEX(Players!$C$4:$C$503,MATCH(315,Players!$K$4:$K$503,0)),"")</f>
        <v/>
      </c>
      <c r="C318" s="1" t="str">
        <f>IFERROR(INDEX(Players!$D$4:$D$503,MATCH(315,Players!$K$4:$K$503,0)),"")</f>
        <v/>
      </c>
      <c r="D318" s="7" t="str">
        <f>IFERROR(INDEX(Players!$E$4:$E$503,MATCH(315,Players!$K$4:$K$503,0)),"")</f>
        <v/>
      </c>
      <c r="E318" s="1" t="str">
        <f>IFERROR(INDEX(Players!$G$4:$G$503,MATCH(315,Players!$K$4:$K$503,0)),"")</f>
        <v/>
      </c>
      <c r="F318" s="7" t="str">
        <f>IFERROR(INDEX(Players!$H$4:$H$503,MATCH(315,Players!$K$4:$K$503,0)),"")</f>
        <v/>
      </c>
      <c r="G318" s="1" t="str">
        <f>IFERROR(INDEX(Players!$I$4:$I$503,MATCH(315,Players!$K$4:$K$503,0)),"")</f>
        <v/>
      </c>
    </row>
    <row r="319" spans="1:7">
      <c r="A319" s="1" t="str">
        <f>IFERROR(INDEX(Players!$B$4:$B$503,MATCH(316,Players!$K$4:$K$503,0)),"")</f>
        <v/>
      </c>
      <c r="B319" s="1" t="str">
        <f>IFERROR(INDEX(Players!$C$4:$C$503,MATCH(316,Players!$K$4:$K$503,0)),"")</f>
        <v/>
      </c>
      <c r="C319" s="1" t="str">
        <f>IFERROR(INDEX(Players!$D$4:$D$503,MATCH(316,Players!$K$4:$K$503,0)),"")</f>
        <v/>
      </c>
      <c r="D319" s="7" t="str">
        <f>IFERROR(INDEX(Players!$E$4:$E$503,MATCH(316,Players!$K$4:$K$503,0)),"")</f>
        <v/>
      </c>
      <c r="E319" s="1" t="str">
        <f>IFERROR(INDEX(Players!$G$4:$G$503,MATCH(316,Players!$K$4:$K$503,0)),"")</f>
        <v/>
      </c>
      <c r="F319" s="7" t="str">
        <f>IFERROR(INDEX(Players!$H$4:$H$503,MATCH(316,Players!$K$4:$K$503,0)),"")</f>
        <v/>
      </c>
      <c r="G319" s="1" t="str">
        <f>IFERROR(INDEX(Players!$I$4:$I$503,MATCH(316,Players!$K$4:$K$503,0)),"")</f>
        <v/>
      </c>
    </row>
    <row r="320" spans="1:7">
      <c r="A320" s="1" t="str">
        <f>IFERROR(INDEX(Players!$B$4:$B$503,MATCH(317,Players!$K$4:$K$503,0)),"")</f>
        <v/>
      </c>
      <c r="B320" s="1" t="str">
        <f>IFERROR(INDEX(Players!$C$4:$C$503,MATCH(317,Players!$K$4:$K$503,0)),"")</f>
        <v/>
      </c>
      <c r="C320" s="1" t="str">
        <f>IFERROR(INDEX(Players!$D$4:$D$503,MATCH(317,Players!$K$4:$K$503,0)),"")</f>
        <v/>
      </c>
      <c r="D320" s="7" t="str">
        <f>IFERROR(INDEX(Players!$E$4:$E$503,MATCH(317,Players!$K$4:$K$503,0)),"")</f>
        <v/>
      </c>
      <c r="E320" s="1" t="str">
        <f>IFERROR(INDEX(Players!$G$4:$G$503,MATCH(317,Players!$K$4:$K$503,0)),"")</f>
        <v/>
      </c>
      <c r="F320" s="7" t="str">
        <f>IFERROR(INDEX(Players!$H$4:$H$503,MATCH(317,Players!$K$4:$K$503,0)),"")</f>
        <v/>
      </c>
      <c r="G320" s="1" t="str">
        <f>IFERROR(INDEX(Players!$I$4:$I$503,MATCH(317,Players!$K$4:$K$503,0)),"")</f>
        <v/>
      </c>
    </row>
    <row r="321" spans="1:7">
      <c r="A321" s="1" t="str">
        <f>IFERROR(INDEX(Players!$B$4:$B$503,MATCH(318,Players!$K$4:$K$503,0)),"")</f>
        <v/>
      </c>
      <c r="B321" s="1" t="str">
        <f>IFERROR(INDEX(Players!$C$4:$C$503,MATCH(318,Players!$K$4:$K$503,0)),"")</f>
        <v/>
      </c>
      <c r="C321" s="1" t="str">
        <f>IFERROR(INDEX(Players!$D$4:$D$503,MATCH(318,Players!$K$4:$K$503,0)),"")</f>
        <v/>
      </c>
      <c r="D321" s="7" t="str">
        <f>IFERROR(INDEX(Players!$E$4:$E$503,MATCH(318,Players!$K$4:$K$503,0)),"")</f>
        <v/>
      </c>
      <c r="E321" s="1" t="str">
        <f>IFERROR(INDEX(Players!$G$4:$G$503,MATCH(318,Players!$K$4:$K$503,0)),"")</f>
        <v/>
      </c>
      <c r="F321" s="7" t="str">
        <f>IFERROR(INDEX(Players!$H$4:$H$503,MATCH(318,Players!$K$4:$K$503,0)),"")</f>
        <v/>
      </c>
      <c r="G321" s="1" t="str">
        <f>IFERROR(INDEX(Players!$I$4:$I$503,MATCH(318,Players!$K$4:$K$503,0)),"")</f>
        <v/>
      </c>
    </row>
    <row r="322" spans="1:7">
      <c r="A322" s="1" t="str">
        <f>IFERROR(INDEX(Players!$B$4:$B$503,MATCH(319,Players!$K$4:$K$503,0)),"")</f>
        <v/>
      </c>
      <c r="B322" s="1" t="str">
        <f>IFERROR(INDEX(Players!$C$4:$C$503,MATCH(319,Players!$K$4:$K$503,0)),"")</f>
        <v/>
      </c>
      <c r="C322" s="1" t="str">
        <f>IFERROR(INDEX(Players!$D$4:$D$503,MATCH(319,Players!$K$4:$K$503,0)),"")</f>
        <v/>
      </c>
      <c r="D322" s="7" t="str">
        <f>IFERROR(INDEX(Players!$E$4:$E$503,MATCH(319,Players!$K$4:$K$503,0)),"")</f>
        <v/>
      </c>
      <c r="E322" s="1" t="str">
        <f>IFERROR(INDEX(Players!$G$4:$G$503,MATCH(319,Players!$K$4:$K$503,0)),"")</f>
        <v/>
      </c>
      <c r="F322" s="7" t="str">
        <f>IFERROR(INDEX(Players!$H$4:$H$503,MATCH(319,Players!$K$4:$K$503,0)),"")</f>
        <v/>
      </c>
      <c r="G322" s="1" t="str">
        <f>IFERROR(INDEX(Players!$I$4:$I$503,MATCH(319,Players!$K$4:$K$503,0)),"")</f>
        <v/>
      </c>
    </row>
    <row r="323" spans="1:7">
      <c r="A323" s="1" t="str">
        <f>IFERROR(INDEX(Players!$B$4:$B$503,MATCH(320,Players!$K$4:$K$503,0)),"")</f>
        <v/>
      </c>
      <c r="B323" s="1" t="str">
        <f>IFERROR(INDEX(Players!$C$4:$C$503,MATCH(320,Players!$K$4:$K$503,0)),"")</f>
        <v/>
      </c>
      <c r="C323" s="1" t="str">
        <f>IFERROR(INDEX(Players!$D$4:$D$503,MATCH(320,Players!$K$4:$K$503,0)),"")</f>
        <v/>
      </c>
      <c r="D323" s="7" t="str">
        <f>IFERROR(INDEX(Players!$E$4:$E$503,MATCH(320,Players!$K$4:$K$503,0)),"")</f>
        <v/>
      </c>
      <c r="E323" s="1" t="str">
        <f>IFERROR(INDEX(Players!$G$4:$G$503,MATCH(320,Players!$K$4:$K$503,0)),"")</f>
        <v/>
      </c>
      <c r="F323" s="7" t="str">
        <f>IFERROR(INDEX(Players!$H$4:$H$503,MATCH(320,Players!$K$4:$K$503,0)),"")</f>
        <v/>
      </c>
      <c r="G323" s="1" t="str">
        <f>IFERROR(INDEX(Players!$I$4:$I$503,MATCH(320,Players!$K$4:$K$503,0)),"")</f>
        <v/>
      </c>
    </row>
    <row r="324" spans="1:7">
      <c r="A324" s="1" t="str">
        <f>IFERROR(INDEX(Players!$B$4:$B$503,MATCH(321,Players!$K$4:$K$503,0)),"")</f>
        <v/>
      </c>
      <c r="B324" s="1" t="str">
        <f>IFERROR(INDEX(Players!$C$4:$C$503,MATCH(321,Players!$K$4:$K$503,0)),"")</f>
        <v/>
      </c>
      <c r="C324" s="1" t="str">
        <f>IFERROR(INDEX(Players!$D$4:$D$503,MATCH(321,Players!$K$4:$K$503,0)),"")</f>
        <v/>
      </c>
      <c r="D324" s="7" t="str">
        <f>IFERROR(INDEX(Players!$E$4:$E$503,MATCH(321,Players!$K$4:$K$503,0)),"")</f>
        <v/>
      </c>
      <c r="E324" s="1" t="str">
        <f>IFERROR(INDEX(Players!$G$4:$G$503,MATCH(321,Players!$K$4:$K$503,0)),"")</f>
        <v/>
      </c>
      <c r="F324" s="7" t="str">
        <f>IFERROR(INDEX(Players!$H$4:$H$503,MATCH(321,Players!$K$4:$K$503,0)),"")</f>
        <v/>
      </c>
      <c r="G324" s="1" t="str">
        <f>IFERROR(INDEX(Players!$I$4:$I$503,MATCH(321,Players!$K$4:$K$503,0)),"")</f>
        <v/>
      </c>
    </row>
    <row r="325" spans="1:7">
      <c r="A325" s="1" t="str">
        <f>IFERROR(INDEX(Players!$B$4:$B$503,MATCH(322,Players!$K$4:$K$503,0)),"")</f>
        <v/>
      </c>
      <c r="B325" s="1" t="str">
        <f>IFERROR(INDEX(Players!$C$4:$C$503,MATCH(322,Players!$K$4:$K$503,0)),"")</f>
        <v/>
      </c>
      <c r="C325" s="1" t="str">
        <f>IFERROR(INDEX(Players!$D$4:$D$503,MATCH(322,Players!$K$4:$K$503,0)),"")</f>
        <v/>
      </c>
      <c r="D325" s="7" t="str">
        <f>IFERROR(INDEX(Players!$E$4:$E$503,MATCH(322,Players!$K$4:$K$503,0)),"")</f>
        <v/>
      </c>
      <c r="E325" s="1" t="str">
        <f>IFERROR(INDEX(Players!$G$4:$G$503,MATCH(322,Players!$K$4:$K$503,0)),"")</f>
        <v/>
      </c>
      <c r="F325" s="7" t="str">
        <f>IFERROR(INDEX(Players!$H$4:$H$503,MATCH(322,Players!$K$4:$K$503,0)),"")</f>
        <v/>
      </c>
      <c r="G325" s="1" t="str">
        <f>IFERROR(INDEX(Players!$I$4:$I$503,MATCH(322,Players!$K$4:$K$503,0)),"")</f>
        <v/>
      </c>
    </row>
    <row r="326" spans="1:7">
      <c r="A326" s="1" t="str">
        <f>IFERROR(INDEX(Players!$B$4:$B$503,MATCH(323,Players!$K$4:$K$503,0)),"")</f>
        <v/>
      </c>
      <c r="B326" s="1" t="str">
        <f>IFERROR(INDEX(Players!$C$4:$C$503,MATCH(323,Players!$K$4:$K$503,0)),"")</f>
        <v/>
      </c>
      <c r="C326" s="1" t="str">
        <f>IFERROR(INDEX(Players!$D$4:$D$503,MATCH(323,Players!$K$4:$K$503,0)),"")</f>
        <v/>
      </c>
      <c r="D326" s="7" t="str">
        <f>IFERROR(INDEX(Players!$E$4:$E$503,MATCH(323,Players!$K$4:$K$503,0)),"")</f>
        <v/>
      </c>
      <c r="E326" s="1" t="str">
        <f>IFERROR(INDEX(Players!$G$4:$G$503,MATCH(323,Players!$K$4:$K$503,0)),"")</f>
        <v/>
      </c>
      <c r="F326" s="7" t="str">
        <f>IFERROR(INDEX(Players!$H$4:$H$503,MATCH(323,Players!$K$4:$K$503,0)),"")</f>
        <v/>
      </c>
      <c r="G326" s="1" t="str">
        <f>IFERROR(INDEX(Players!$I$4:$I$503,MATCH(323,Players!$K$4:$K$503,0)),"")</f>
        <v/>
      </c>
    </row>
    <row r="327" spans="1:7">
      <c r="A327" s="1" t="str">
        <f>IFERROR(INDEX(Players!$B$4:$B$503,MATCH(324,Players!$K$4:$K$503,0)),"")</f>
        <v/>
      </c>
      <c r="B327" s="1" t="str">
        <f>IFERROR(INDEX(Players!$C$4:$C$503,MATCH(324,Players!$K$4:$K$503,0)),"")</f>
        <v/>
      </c>
      <c r="C327" s="1" t="str">
        <f>IFERROR(INDEX(Players!$D$4:$D$503,MATCH(324,Players!$K$4:$K$503,0)),"")</f>
        <v/>
      </c>
      <c r="D327" s="7" t="str">
        <f>IFERROR(INDEX(Players!$E$4:$E$503,MATCH(324,Players!$K$4:$K$503,0)),"")</f>
        <v/>
      </c>
      <c r="E327" s="1" t="str">
        <f>IFERROR(INDEX(Players!$G$4:$G$503,MATCH(324,Players!$K$4:$K$503,0)),"")</f>
        <v/>
      </c>
      <c r="F327" s="7" t="str">
        <f>IFERROR(INDEX(Players!$H$4:$H$503,MATCH(324,Players!$K$4:$K$503,0)),"")</f>
        <v/>
      </c>
      <c r="G327" s="1" t="str">
        <f>IFERROR(INDEX(Players!$I$4:$I$503,MATCH(324,Players!$K$4:$K$503,0)),"")</f>
        <v/>
      </c>
    </row>
    <row r="328" spans="1:7">
      <c r="A328" s="1" t="str">
        <f>IFERROR(INDEX(Players!$B$4:$B$503,MATCH(325,Players!$K$4:$K$503,0)),"")</f>
        <v/>
      </c>
      <c r="B328" s="1" t="str">
        <f>IFERROR(INDEX(Players!$C$4:$C$503,MATCH(325,Players!$K$4:$K$503,0)),"")</f>
        <v/>
      </c>
      <c r="C328" s="1" t="str">
        <f>IFERROR(INDEX(Players!$D$4:$D$503,MATCH(325,Players!$K$4:$K$503,0)),"")</f>
        <v/>
      </c>
      <c r="D328" s="7" t="str">
        <f>IFERROR(INDEX(Players!$E$4:$E$503,MATCH(325,Players!$K$4:$K$503,0)),"")</f>
        <v/>
      </c>
      <c r="E328" s="1" t="str">
        <f>IFERROR(INDEX(Players!$G$4:$G$503,MATCH(325,Players!$K$4:$K$503,0)),"")</f>
        <v/>
      </c>
      <c r="F328" s="7" t="str">
        <f>IFERROR(INDEX(Players!$H$4:$H$503,MATCH(325,Players!$K$4:$K$503,0)),"")</f>
        <v/>
      </c>
      <c r="G328" s="1" t="str">
        <f>IFERROR(INDEX(Players!$I$4:$I$503,MATCH(325,Players!$K$4:$K$503,0)),"")</f>
        <v/>
      </c>
    </row>
    <row r="329" spans="1:7">
      <c r="A329" s="1" t="str">
        <f>IFERROR(INDEX(Players!$B$4:$B$503,MATCH(326,Players!$K$4:$K$503,0)),"")</f>
        <v/>
      </c>
      <c r="B329" s="1" t="str">
        <f>IFERROR(INDEX(Players!$C$4:$C$503,MATCH(326,Players!$K$4:$K$503,0)),"")</f>
        <v/>
      </c>
      <c r="C329" s="1" t="str">
        <f>IFERROR(INDEX(Players!$D$4:$D$503,MATCH(326,Players!$K$4:$K$503,0)),"")</f>
        <v/>
      </c>
      <c r="D329" s="7" t="str">
        <f>IFERROR(INDEX(Players!$E$4:$E$503,MATCH(326,Players!$K$4:$K$503,0)),"")</f>
        <v/>
      </c>
      <c r="E329" s="1" t="str">
        <f>IFERROR(INDEX(Players!$G$4:$G$503,MATCH(326,Players!$K$4:$K$503,0)),"")</f>
        <v/>
      </c>
      <c r="F329" s="7" t="str">
        <f>IFERROR(INDEX(Players!$H$4:$H$503,MATCH(326,Players!$K$4:$K$503,0)),"")</f>
        <v/>
      </c>
      <c r="G329" s="1" t="str">
        <f>IFERROR(INDEX(Players!$I$4:$I$503,MATCH(326,Players!$K$4:$K$503,0)),"")</f>
        <v/>
      </c>
    </row>
    <row r="330" spans="1:7">
      <c r="A330" s="1" t="str">
        <f>IFERROR(INDEX(Players!$B$4:$B$503,MATCH(327,Players!$K$4:$K$503,0)),"")</f>
        <v/>
      </c>
      <c r="B330" s="1" t="str">
        <f>IFERROR(INDEX(Players!$C$4:$C$503,MATCH(327,Players!$K$4:$K$503,0)),"")</f>
        <v/>
      </c>
      <c r="C330" s="1" t="str">
        <f>IFERROR(INDEX(Players!$D$4:$D$503,MATCH(327,Players!$K$4:$K$503,0)),"")</f>
        <v/>
      </c>
      <c r="D330" s="7" t="str">
        <f>IFERROR(INDEX(Players!$E$4:$E$503,MATCH(327,Players!$K$4:$K$503,0)),"")</f>
        <v/>
      </c>
      <c r="E330" s="1" t="str">
        <f>IFERROR(INDEX(Players!$G$4:$G$503,MATCH(327,Players!$K$4:$K$503,0)),"")</f>
        <v/>
      </c>
      <c r="F330" s="7" t="str">
        <f>IFERROR(INDEX(Players!$H$4:$H$503,MATCH(327,Players!$K$4:$K$503,0)),"")</f>
        <v/>
      </c>
      <c r="G330" s="1" t="str">
        <f>IFERROR(INDEX(Players!$I$4:$I$503,MATCH(327,Players!$K$4:$K$503,0)),"")</f>
        <v/>
      </c>
    </row>
    <row r="331" spans="1:7">
      <c r="A331" s="1" t="str">
        <f>IFERROR(INDEX(Players!$B$4:$B$503,MATCH(328,Players!$K$4:$K$503,0)),"")</f>
        <v/>
      </c>
      <c r="B331" s="1" t="str">
        <f>IFERROR(INDEX(Players!$C$4:$C$503,MATCH(328,Players!$K$4:$K$503,0)),"")</f>
        <v/>
      </c>
      <c r="C331" s="1" t="str">
        <f>IFERROR(INDEX(Players!$D$4:$D$503,MATCH(328,Players!$K$4:$K$503,0)),"")</f>
        <v/>
      </c>
      <c r="D331" s="7" t="str">
        <f>IFERROR(INDEX(Players!$E$4:$E$503,MATCH(328,Players!$K$4:$K$503,0)),"")</f>
        <v/>
      </c>
      <c r="E331" s="1" t="str">
        <f>IFERROR(INDEX(Players!$G$4:$G$503,MATCH(328,Players!$K$4:$K$503,0)),"")</f>
        <v/>
      </c>
      <c r="F331" s="7" t="str">
        <f>IFERROR(INDEX(Players!$H$4:$H$503,MATCH(328,Players!$K$4:$K$503,0)),"")</f>
        <v/>
      </c>
      <c r="G331" s="1" t="str">
        <f>IFERROR(INDEX(Players!$I$4:$I$503,MATCH(328,Players!$K$4:$K$503,0)),"")</f>
        <v/>
      </c>
    </row>
    <row r="332" spans="1:7">
      <c r="A332" s="1" t="str">
        <f>IFERROR(INDEX(Players!$B$4:$B$503,MATCH(329,Players!$K$4:$K$503,0)),"")</f>
        <v/>
      </c>
      <c r="B332" s="1" t="str">
        <f>IFERROR(INDEX(Players!$C$4:$C$503,MATCH(329,Players!$K$4:$K$503,0)),"")</f>
        <v/>
      </c>
      <c r="C332" s="1" t="str">
        <f>IFERROR(INDEX(Players!$D$4:$D$503,MATCH(329,Players!$K$4:$K$503,0)),"")</f>
        <v/>
      </c>
      <c r="D332" s="7" t="str">
        <f>IFERROR(INDEX(Players!$E$4:$E$503,MATCH(329,Players!$K$4:$K$503,0)),"")</f>
        <v/>
      </c>
      <c r="E332" s="1" t="str">
        <f>IFERROR(INDEX(Players!$G$4:$G$503,MATCH(329,Players!$K$4:$K$503,0)),"")</f>
        <v/>
      </c>
      <c r="F332" s="7" t="str">
        <f>IFERROR(INDEX(Players!$H$4:$H$503,MATCH(329,Players!$K$4:$K$503,0)),"")</f>
        <v/>
      </c>
      <c r="G332" s="1" t="str">
        <f>IFERROR(INDEX(Players!$I$4:$I$503,MATCH(329,Players!$K$4:$K$503,0)),"")</f>
        <v/>
      </c>
    </row>
    <row r="333" spans="1:7">
      <c r="A333" s="1" t="str">
        <f>IFERROR(INDEX(Players!$B$4:$B$503,MATCH(330,Players!$K$4:$K$503,0)),"")</f>
        <v/>
      </c>
      <c r="B333" s="1" t="str">
        <f>IFERROR(INDEX(Players!$C$4:$C$503,MATCH(330,Players!$K$4:$K$503,0)),"")</f>
        <v/>
      </c>
      <c r="C333" s="1" t="str">
        <f>IFERROR(INDEX(Players!$D$4:$D$503,MATCH(330,Players!$K$4:$K$503,0)),"")</f>
        <v/>
      </c>
      <c r="D333" s="7" t="str">
        <f>IFERROR(INDEX(Players!$E$4:$E$503,MATCH(330,Players!$K$4:$K$503,0)),"")</f>
        <v/>
      </c>
      <c r="E333" s="1" t="str">
        <f>IFERROR(INDEX(Players!$G$4:$G$503,MATCH(330,Players!$K$4:$K$503,0)),"")</f>
        <v/>
      </c>
      <c r="F333" s="7" t="str">
        <f>IFERROR(INDEX(Players!$H$4:$H$503,MATCH(330,Players!$K$4:$K$503,0)),"")</f>
        <v/>
      </c>
      <c r="G333" s="1" t="str">
        <f>IFERROR(INDEX(Players!$I$4:$I$503,MATCH(330,Players!$K$4:$K$503,0)),"")</f>
        <v/>
      </c>
    </row>
    <row r="334" spans="1:7">
      <c r="A334" s="1" t="str">
        <f>IFERROR(INDEX(Players!$B$4:$B$503,MATCH(331,Players!$K$4:$K$503,0)),"")</f>
        <v/>
      </c>
      <c r="B334" s="1" t="str">
        <f>IFERROR(INDEX(Players!$C$4:$C$503,MATCH(331,Players!$K$4:$K$503,0)),"")</f>
        <v/>
      </c>
      <c r="C334" s="1" t="str">
        <f>IFERROR(INDEX(Players!$D$4:$D$503,MATCH(331,Players!$K$4:$K$503,0)),"")</f>
        <v/>
      </c>
      <c r="D334" s="7" t="str">
        <f>IFERROR(INDEX(Players!$E$4:$E$503,MATCH(331,Players!$K$4:$K$503,0)),"")</f>
        <v/>
      </c>
      <c r="E334" s="1" t="str">
        <f>IFERROR(INDEX(Players!$G$4:$G$503,MATCH(331,Players!$K$4:$K$503,0)),"")</f>
        <v/>
      </c>
      <c r="F334" s="7" t="str">
        <f>IFERROR(INDEX(Players!$H$4:$H$503,MATCH(331,Players!$K$4:$K$503,0)),"")</f>
        <v/>
      </c>
      <c r="G334" s="1" t="str">
        <f>IFERROR(INDEX(Players!$I$4:$I$503,MATCH(331,Players!$K$4:$K$503,0)),"")</f>
        <v/>
      </c>
    </row>
    <row r="335" spans="1:7">
      <c r="A335" s="1" t="str">
        <f>IFERROR(INDEX(Players!$B$4:$B$503,MATCH(332,Players!$K$4:$K$503,0)),"")</f>
        <v/>
      </c>
      <c r="B335" s="1" t="str">
        <f>IFERROR(INDEX(Players!$C$4:$C$503,MATCH(332,Players!$K$4:$K$503,0)),"")</f>
        <v/>
      </c>
      <c r="C335" s="1" t="str">
        <f>IFERROR(INDEX(Players!$D$4:$D$503,MATCH(332,Players!$K$4:$K$503,0)),"")</f>
        <v/>
      </c>
      <c r="D335" s="7" t="str">
        <f>IFERROR(INDEX(Players!$E$4:$E$503,MATCH(332,Players!$K$4:$K$503,0)),"")</f>
        <v/>
      </c>
      <c r="E335" s="1" t="str">
        <f>IFERROR(INDEX(Players!$G$4:$G$503,MATCH(332,Players!$K$4:$K$503,0)),"")</f>
        <v/>
      </c>
      <c r="F335" s="7" t="str">
        <f>IFERROR(INDEX(Players!$H$4:$H$503,MATCH(332,Players!$K$4:$K$503,0)),"")</f>
        <v/>
      </c>
      <c r="G335" s="1" t="str">
        <f>IFERROR(INDEX(Players!$I$4:$I$503,MATCH(332,Players!$K$4:$K$503,0)),"")</f>
        <v/>
      </c>
    </row>
    <row r="336" spans="1:7">
      <c r="A336" s="1" t="str">
        <f>IFERROR(INDEX(Players!$B$4:$B$503,MATCH(333,Players!$K$4:$K$503,0)),"")</f>
        <v/>
      </c>
      <c r="B336" s="1" t="str">
        <f>IFERROR(INDEX(Players!$C$4:$C$503,MATCH(333,Players!$K$4:$K$503,0)),"")</f>
        <v/>
      </c>
      <c r="C336" s="1" t="str">
        <f>IFERROR(INDEX(Players!$D$4:$D$503,MATCH(333,Players!$K$4:$K$503,0)),"")</f>
        <v/>
      </c>
      <c r="D336" s="7" t="str">
        <f>IFERROR(INDEX(Players!$E$4:$E$503,MATCH(333,Players!$K$4:$K$503,0)),"")</f>
        <v/>
      </c>
      <c r="E336" s="1" t="str">
        <f>IFERROR(INDEX(Players!$G$4:$G$503,MATCH(333,Players!$K$4:$K$503,0)),"")</f>
        <v/>
      </c>
      <c r="F336" s="7" t="str">
        <f>IFERROR(INDEX(Players!$H$4:$H$503,MATCH(333,Players!$K$4:$K$503,0)),"")</f>
        <v/>
      </c>
      <c r="G336" s="1" t="str">
        <f>IFERROR(INDEX(Players!$I$4:$I$503,MATCH(333,Players!$K$4:$K$503,0)),"")</f>
        <v/>
      </c>
    </row>
    <row r="337" spans="1:7">
      <c r="A337" s="1" t="str">
        <f>IFERROR(INDEX(Players!$B$4:$B$503,MATCH(334,Players!$K$4:$K$503,0)),"")</f>
        <v/>
      </c>
      <c r="B337" s="1" t="str">
        <f>IFERROR(INDEX(Players!$C$4:$C$503,MATCH(334,Players!$K$4:$K$503,0)),"")</f>
        <v/>
      </c>
      <c r="C337" s="1" t="str">
        <f>IFERROR(INDEX(Players!$D$4:$D$503,MATCH(334,Players!$K$4:$K$503,0)),"")</f>
        <v/>
      </c>
      <c r="D337" s="7" t="str">
        <f>IFERROR(INDEX(Players!$E$4:$E$503,MATCH(334,Players!$K$4:$K$503,0)),"")</f>
        <v/>
      </c>
      <c r="E337" s="1" t="str">
        <f>IFERROR(INDEX(Players!$G$4:$G$503,MATCH(334,Players!$K$4:$K$503,0)),"")</f>
        <v/>
      </c>
      <c r="F337" s="7" t="str">
        <f>IFERROR(INDEX(Players!$H$4:$H$503,MATCH(334,Players!$K$4:$K$503,0)),"")</f>
        <v/>
      </c>
      <c r="G337" s="1" t="str">
        <f>IFERROR(INDEX(Players!$I$4:$I$503,MATCH(334,Players!$K$4:$K$503,0)),"")</f>
        <v/>
      </c>
    </row>
    <row r="338" spans="1:7">
      <c r="A338" s="1" t="str">
        <f>IFERROR(INDEX(Players!$B$4:$B$503,MATCH(335,Players!$K$4:$K$503,0)),"")</f>
        <v/>
      </c>
      <c r="B338" s="1" t="str">
        <f>IFERROR(INDEX(Players!$C$4:$C$503,MATCH(335,Players!$K$4:$K$503,0)),"")</f>
        <v/>
      </c>
      <c r="C338" s="1" t="str">
        <f>IFERROR(INDEX(Players!$D$4:$D$503,MATCH(335,Players!$K$4:$K$503,0)),"")</f>
        <v/>
      </c>
      <c r="D338" s="7" t="str">
        <f>IFERROR(INDEX(Players!$E$4:$E$503,MATCH(335,Players!$K$4:$K$503,0)),"")</f>
        <v/>
      </c>
      <c r="E338" s="1" t="str">
        <f>IFERROR(INDEX(Players!$G$4:$G$503,MATCH(335,Players!$K$4:$K$503,0)),"")</f>
        <v/>
      </c>
      <c r="F338" s="7" t="str">
        <f>IFERROR(INDEX(Players!$H$4:$H$503,MATCH(335,Players!$K$4:$K$503,0)),"")</f>
        <v/>
      </c>
      <c r="G338" s="1" t="str">
        <f>IFERROR(INDEX(Players!$I$4:$I$503,MATCH(335,Players!$K$4:$K$503,0)),"")</f>
        <v/>
      </c>
    </row>
    <row r="339" spans="1:7">
      <c r="A339" s="1" t="str">
        <f>IFERROR(INDEX(Players!$B$4:$B$503,MATCH(336,Players!$K$4:$K$503,0)),"")</f>
        <v/>
      </c>
      <c r="B339" s="1" t="str">
        <f>IFERROR(INDEX(Players!$C$4:$C$503,MATCH(336,Players!$K$4:$K$503,0)),"")</f>
        <v/>
      </c>
      <c r="C339" s="1" t="str">
        <f>IFERROR(INDEX(Players!$D$4:$D$503,MATCH(336,Players!$K$4:$K$503,0)),"")</f>
        <v/>
      </c>
      <c r="D339" s="7" t="str">
        <f>IFERROR(INDEX(Players!$E$4:$E$503,MATCH(336,Players!$K$4:$K$503,0)),"")</f>
        <v/>
      </c>
      <c r="E339" s="1" t="str">
        <f>IFERROR(INDEX(Players!$G$4:$G$503,MATCH(336,Players!$K$4:$K$503,0)),"")</f>
        <v/>
      </c>
      <c r="F339" s="7" t="str">
        <f>IFERROR(INDEX(Players!$H$4:$H$503,MATCH(336,Players!$K$4:$K$503,0)),"")</f>
        <v/>
      </c>
      <c r="G339" s="1" t="str">
        <f>IFERROR(INDEX(Players!$I$4:$I$503,MATCH(336,Players!$K$4:$K$503,0)),"")</f>
        <v/>
      </c>
    </row>
    <row r="340" spans="1:7">
      <c r="A340" s="1" t="str">
        <f>IFERROR(INDEX(Players!$B$4:$B$503,MATCH(337,Players!$K$4:$K$503,0)),"")</f>
        <v/>
      </c>
      <c r="B340" s="1" t="str">
        <f>IFERROR(INDEX(Players!$C$4:$C$503,MATCH(337,Players!$K$4:$K$503,0)),"")</f>
        <v/>
      </c>
      <c r="C340" s="1" t="str">
        <f>IFERROR(INDEX(Players!$D$4:$D$503,MATCH(337,Players!$K$4:$K$503,0)),"")</f>
        <v/>
      </c>
      <c r="D340" s="7" t="str">
        <f>IFERROR(INDEX(Players!$E$4:$E$503,MATCH(337,Players!$K$4:$K$503,0)),"")</f>
        <v/>
      </c>
      <c r="E340" s="1" t="str">
        <f>IFERROR(INDEX(Players!$G$4:$G$503,MATCH(337,Players!$K$4:$K$503,0)),"")</f>
        <v/>
      </c>
      <c r="F340" s="7" t="str">
        <f>IFERROR(INDEX(Players!$H$4:$H$503,MATCH(337,Players!$K$4:$K$503,0)),"")</f>
        <v/>
      </c>
      <c r="G340" s="1" t="str">
        <f>IFERROR(INDEX(Players!$I$4:$I$503,MATCH(337,Players!$K$4:$K$503,0)),"")</f>
        <v/>
      </c>
    </row>
    <row r="341" spans="1:7">
      <c r="A341" s="1" t="str">
        <f>IFERROR(INDEX(Players!$B$4:$B$503,MATCH(338,Players!$K$4:$K$503,0)),"")</f>
        <v/>
      </c>
      <c r="B341" s="1" t="str">
        <f>IFERROR(INDEX(Players!$C$4:$C$503,MATCH(338,Players!$K$4:$K$503,0)),"")</f>
        <v/>
      </c>
      <c r="C341" s="1" t="str">
        <f>IFERROR(INDEX(Players!$D$4:$D$503,MATCH(338,Players!$K$4:$K$503,0)),"")</f>
        <v/>
      </c>
      <c r="D341" s="7" t="str">
        <f>IFERROR(INDEX(Players!$E$4:$E$503,MATCH(338,Players!$K$4:$K$503,0)),"")</f>
        <v/>
      </c>
      <c r="E341" s="1" t="str">
        <f>IFERROR(INDEX(Players!$G$4:$G$503,MATCH(338,Players!$K$4:$K$503,0)),"")</f>
        <v/>
      </c>
      <c r="F341" s="7" t="str">
        <f>IFERROR(INDEX(Players!$H$4:$H$503,MATCH(338,Players!$K$4:$K$503,0)),"")</f>
        <v/>
      </c>
      <c r="G341" s="1" t="str">
        <f>IFERROR(INDEX(Players!$I$4:$I$503,MATCH(338,Players!$K$4:$K$503,0)),"")</f>
        <v/>
      </c>
    </row>
    <row r="342" spans="1:7">
      <c r="A342" s="1" t="str">
        <f>IFERROR(INDEX(Players!$B$4:$B$503,MATCH(339,Players!$K$4:$K$503,0)),"")</f>
        <v/>
      </c>
      <c r="B342" s="1" t="str">
        <f>IFERROR(INDEX(Players!$C$4:$C$503,MATCH(339,Players!$K$4:$K$503,0)),"")</f>
        <v/>
      </c>
      <c r="C342" s="1" t="str">
        <f>IFERROR(INDEX(Players!$D$4:$D$503,MATCH(339,Players!$K$4:$K$503,0)),"")</f>
        <v/>
      </c>
      <c r="D342" s="7" t="str">
        <f>IFERROR(INDEX(Players!$E$4:$E$503,MATCH(339,Players!$K$4:$K$503,0)),"")</f>
        <v/>
      </c>
      <c r="E342" s="1" t="str">
        <f>IFERROR(INDEX(Players!$G$4:$G$503,MATCH(339,Players!$K$4:$K$503,0)),"")</f>
        <v/>
      </c>
      <c r="F342" s="7" t="str">
        <f>IFERROR(INDEX(Players!$H$4:$H$503,MATCH(339,Players!$K$4:$K$503,0)),"")</f>
        <v/>
      </c>
      <c r="G342" s="1" t="str">
        <f>IFERROR(INDEX(Players!$I$4:$I$503,MATCH(339,Players!$K$4:$K$503,0)),"")</f>
        <v/>
      </c>
    </row>
    <row r="343" spans="1:7">
      <c r="A343" s="1" t="str">
        <f>IFERROR(INDEX(Players!$B$4:$B$503,MATCH(340,Players!$K$4:$K$503,0)),"")</f>
        <v/>
      </c>
      <c r="B343" s="1" t="str">
        <f>IFERROR(INDEX(Players!$C$4:$C$503,MATCH(340,Players!$K$4:$K$503,0)),"")</f>
        <v/>
      </c>
      <c r="C343" s="1" t="str">
        <f>IFERROR(INDEX(Players!$D$4:$D$503,MATCH(340,Players!$K$4:$K$503,0)),"")</f>
        <v/>
      </c>
      <c r="D343" s="7" t="str">
        <f>IFERROR(INDEX(Players!$E$4:$E$503,MATCH(340,Players!$K$4:$K$503,0)),"")</f>
        <v/>
      </c>
      <c r="E343" s="1" t="str">
        <f>IFERROR(INDEX(Players!$G$4:$G$503,MATCH(340,Players!$K$4:$K$503,0)),"")</f>
        <v/>
      </c>
      <c r="F343" s="7" t="str">
        <f>IFERROR(INDEX(Players!$H$4:$H$503,MATCH(340,Players!$K$4:$K$503,0)),"")</f>
        <v/>
      </c>
      <c r="G343" s="1" t="str">
        <f>IFERROR(INDEX(Players!$I$4:$I$503,MATCH(340,Players!$K$4:$K$503,0)),"")</f>
        <v/>
      </c>
    </row>
    <row r="344" spans="1:7">
      <c r="A344" s="1" t="str">
        <f>IFERROR(INDEX(Players!$B$4:$B$503,MATCH(341,Players!$K$4:$K$503,0)),"")</f>
        <v/>
      </c>
      <c r="B344" s="1" t="str">
        <f>IFERROR(INDEX(Players!$C$4:$C$503,MATCH(341,Players!$K$4:$K$503,0)),"")</f>
        <v/>
      </c>
      <c r="C344" s="1" t="str">
        <f>IFERROR(INDEX(Players!$D$4:$D$503,MATCH(341,Players!$K$4:$K$503,0)),"")</f>
        <v/>
      </c>
      <c r="D344" s="7" t="str">
        <f>IFERROR(INDEX(Players!$E$4:$E$503,MATCH(341,Players!$K$4:$K$503,0)),"")</f>
        <v/>
      </c>
      <c r="E344" s="1" t="str">
        <f>IFERROR(INDEX(Players!$G$4:$G$503,MATCH(341,Players!$K$4:$K$503,0)),"")</f>
        <v/>
      </c>
      <c r="F344" s="7" t="str">
        <f>IFERROR(INDEX(Players!$H$4:$H$503,MATCH(341,Players!$K$4:$K$503,0)),"")</f>
        <v/>
      </c>
      <c r="G344" s="1" t="str">
        <f>IFERROR(INDEX(Players!$I$4:$I$503,MATCH(341,Players!$K$4:$K$503,0)),"")</f>
        <v/>
      </c>
    </row>
    <row r="345" spans="1:7">
      <c r="A345" s="1" t="str">
        <f>IFERROR(INDEX(Players!$B$4:$B$503,MATCH(342,Players!$K$4:$K$503,0)),"")</f>
        <v/>
      </c>
      <c r="B345" s="1" t="str">
        <f>IFERROR(INDEX(Players!$C$4:$C$503,MATCH(342,Players!$K$4:$K$503,0)),"")</f>
        <v/>
      </c>
      <c r="C345" s="1" t="str">
        <f>IFERROR(INDEX(Players!$D$4:$D$503,MATCH(342,Players!$K$4:$K$503,0)),"")</f>
        <v/>
      </c>
      <c r="D345" s="7" t="str">
        <f>IFERROR(INDEX(Players!$E$4:$E$503,MATCH(342,Players!$K$4:$K$503,0)),"")</f>
        <v/>
      </c>
      <c r="E345" s="1" t="str">
        <f>IFERROR(INDEX(Players!$G$4:$G$503,MATCH(342,Players!$K$4:$K$503,0)),"")</f>
        <v/>
      </c>
      <c r="F345" s="7" t="str">
        <f>IFERROR(INDEX(Players!$H$4:$H$503,MATCH(342,Players!$K$4:$K$503,0)),"")</f>
        <v/>
      </c>
      <c r="G345" s="1" t="str">
        <f>IFERROR(INDEX(Players!$I$4:$I$503,MATCH(342,Players!$K$4:$K$503,0)),"")</f>
        <v/>
      </c>
    </row>
    <row r="346" spans="1:7">
      <c r="A346" s="1" t="str">
        <f>IFERROR(INDEX(Players!$B$4:$B$503,MATCH(343,Players!$K$4:$K$503,0)),"")</f>
        <v/>
      </c>
      <c r="B346" s="1" t="str">
        <f>IFERROR(INDEX(Players!$C$4:$C$503,MATCH(343,Players!$K$4:$K$503,0)),"")</f>
        <v/>
      </c>
      <c r="C346" s="1" t="str">
        <f>IFERROR(INDEX(Players!$D$4:$D$503,MATCH(343,Players!$K$4:$K$503,0)),"")</f>
        <v/>
      </c>
      <c r="D346" s="7" t="str">
        <f>IFERROR(INDEX(Players!$E$4:$E$503,MATCH(343,Players!$K$4:$K$503,0)),"")</f>
        <v/>
      </c>
      <c r="E346" s="1" t="str">
        <f>IFERROR(INDEX(Players!$G$4:$G$503,MATCH(343,Players!$K$4:$K$503,0)),"")</f>
        <v/>
      </c>
      <c r="F346" s="7" t="str">
        <f>IFERROR(INDEX(Players!$H$4:$H$503,MATCH(343,Players!$K$4:$K$503,0)),"")</f>
        <v/>
      </c>
      <c r="G346" s="1" t="str">
        <f>IFERROR(INDEX(Players!$I$4:$I$503,MATCH(343,Players!$K$4:$K$503,0)),"")</f>
        <v/>
      </c>
    </row>
    <row r="347" spans="1:7">
      <c r="A347" s="1" t="str">
        <f>IFERROR(INDEX(Players!$B$4:$B$503,MATCH(344,Players!$K$4:$K$503,0)),"")</f>
        <v/>
      </c>
      <c r="B347" s="1" t="str">
        <f>IFERROR(INDEX(Players!$C$4:$C$503,MATCH(344,Players!$K$4:$K$503,0)),"")</f>
        <v/>
      </c>
      <c r="C347" s="1" t="str">
        <f>IFERROR(INDEX(Players!$D$4:$D$503,MATCH(344,Players!$K$4:$K$503,0)),"")</f>
        <v/>
      </c>
      <c r="D347" s="7" t="str">
        <f>IFERROR(INDEX(Players!$E$4:$E$503,MATCH(344,Players!$K$4:$K$503,0)),"")</f>
        <v/>
      </c>
      <c r="E347" s="1" t="str">
        <f>IFERROR(INDEX(Players!$G$4:$G$503,MATCH(344,Players!$K$4:$K$503,0)),"")</f>
        <v/>
      </c>
      <c r="F347" s="7" t="str">
        <f>IFERROR(INDEX(Players!$H$4:$H$503,MATCH(344,Players!$K$4:$K$503,0)),"")</f>
        <v/>
      </c>
      <c r="G347" s="1" t="str">
        <f>IFERROR(INDEX(Players!$I$4:$I$503,MATCH(344,Players!$K$4:$K$503,0)),"")</f>
        <v/>
      </c>
    </row>
    <row r="348" spans="1:7">
      <c r="A348" s="1" t="str">
        <f>IFERROR(INDEX(Players!$B$4:$B$503,MATCH(345,Players!$K$4:$K$503,0)),"")</f>
        <v/>
      </c>
      <c r="B348" s="1" t="str">
        <f>IFERROR(INDEX(Players!$C$4:$C$503,MATCH(345,Players!$K$4:$K$503,0)),"")</f>
        <v/>
      </c>
      <c r="C348" s="1" t="str">
        <f>IFERROR(INDEX(Players!$D$4:$D$503,MATCH(345,Players!$K$4:$K$503,0)),"")</f>
        <v/>
      </c>
      <c r="D348" s="7" t="str">
        <f>IFERROR(INDEX(Players!$E$4:$E$503,MATCH(345,Players!$K$4:$K$503,0)),"")</f>
        <v/>
      </c>
      <c r="E348" s="1" t="str">
        <f>IFERROR(INDEX(Players!$G$4:$G$503,MATCH(345,Players!$K$4:$K$503,0)),"")</f>
        <v/>
      </c>
      <c r="F348" s="7" t="str">
        <f>IFERROR(INDEX(Players!$H$4:$H$503,MATCH(345,Players!$K$4:$K$503,0)),"")</f>
        <v/>
      </c>
      <c r="G348" s="1" t="str">
        <f>IFERROR(INDEX(Players!$I$4:$I$503,MATCH(345,Players!$K$4:$K$503,0)),"")</f>
        <v/>
      </c>
    </row>
    <row r="349" spans="1:7">
      <c r="A349" s="1" t="str">
        <f>IFERROR(INDEX(Players!$B$4:$B$503,MATCH(346,Players!$K$4:$K$503,0)),"")</f>
        <v/>
      </c>
      <c r="B349" s="1" t="str">
        <f>IFERROR(INDEX(Players!$C$4:$C$503,MATCH(346,Players!$K$4:$K$503,0)),"")</f>
        <v/>
      </c>
      <c r="C349" s="1" t="str">
        <f>IFERROR(INDEX(Players!$D$4:$D$503,MATCH(346,Players!$K$4:$K$503,0)),"")</f>
        <v/>
      </c>
      <c r="D349" s="7" t="str">
        <f>IFERROR(INDEX(Players!$E$4:$E$503,MATCH(346,Players!$K$4:$K$503,0)),"")</f>
        <v/>
      </c>
      <c r="E349" s="1" t="str">
        <f>IFERROR(INDEX(Players!$G$4:$G$503,MATCH(346,Players!$K$4:$K$503,0)),"")</f>
        <v/>
      </c>
      <c r="F349" s="7" t="str">
        <f>IFERROR(INDEX(Players!$H$4:$H$503,MATCH(346,Players!$K$4:$K$503,0)),"")</f>
        <v/>
      </c>
      <c r="G349" s="1" t="str">
        <f>IFERROR(INDEX(Players!$I$4:$I$503,MATCH(346,Players!$K$4:$K$503,0)),"")</f>
        <v/>
      </c>
    </row>
    <row r="350" spans="1:7">
      <c r="A350" s="1" t="str">
        <f>IFERROR(INDEX(Players!$B$4:$B$503,MATCH(347,Players!$K$4:$K$503,0)),"")</f>
        <v/>
      </c>
      <c r="B350" s="1" t="str">
        <f>IFERROR(INDEX(Players!$C$4:$C$503,MATCH(347,Players!$K$4:$K$503,0)),"")</f>
        <v/>
      </c>
      <c r="C350" s="1" t="str">
        <f>IFERROR(INDEX(Players!$D$4:$D$503,MATCH(347,Players!$K$4:$K$503,0)),"")</f>
        <v/>
      </c>
      <c r="D350" s="7" t="str">
        <f>IFERROR(INDEX(Players!$E$4:$E$503,MATCH(347,Players!$K$4:$K$503,0)),"")</f>
        <v/>
      </c>
      <c r="E350" s="1" t="str">
        <f>IFERROR(INDEX(Players!$G$4:$G$503,MATCH(347,Players!$K$4:$K$503,0)),"")</f>
        <v/>
      </c>
      <c r="F350" s="7" t="str">
        <f>IFERROR(INDEX(Players!$H$4:$H$503,MATCH(347,Players!$K$4:$K$503,0)),"")</f>
        <v/>
      </c>
      <c r="G350" s="1" t="str">
        <f>IFERROR(INDEX(Players!$I$4:$I$503,MATCH(347,Players!$K$4:$K$503,0)),"")</f>
        <v/>
      </c>
    </row>
    <row r="351" spans="1:7">
      <c r="A351" s="1" t="str">
        <f>IFERROR(INDEX(Players!$B$4:$B$503,MATCH(348,Players!$K$4:$K$503,0)),"")</f>
        <v/>
      </c>
      <c r="B351" s="1" t="str">
        <f>IFERROR(INDEX(Players!$C$4:$C$503,MATCH(348,Players!$K$4:$K$503,0)),"")</f>
        <v/>
      </c>
      <c r="C351" s="1" t="str">
        <f>IFERROR(INDEX(Players!$D$4:$D$503,MATCH(348,Players!$K$4:$K$503,0)),"")</f>
        <v/>
      </c>
      <c r="D351" s="7" t="str">
        <f>IFERROR(INDEX(Players!$E$4:$E$503,MATCH(348,Players!$K$4:$K$503,0)),"")</f>
        <v/>
      </c>
      <c r="E351" s="1" t="str">
        <f>IFERROR(INDEX(Players!$G$4:$G$503,MATCH(348,Players!$K$4:$K$503,0)),"")</f>
        <v/>
      </c>
      <c r="F351" s="7" t="str">
        <f>IFERROR(INDEX(Players!$H$4:$H$503,MATCH(348,Players!$K$4:$K$503,0)),"")</f>
        <v/>
      </c>
      <c r="G351" s="1" t="str">
        <f>IFERROR(INDEX(Players!$I$4:$I$503,MATCH(348,Players!$K$4:$K$503,0)),"")</f>
        <v/>
      </c>
    </row>
    <row r="352" spans="1:7">
      <c r="A352" s="1" t="str">
        <f>IFERROR(INDEX(Players!$B$4:$B$503,MATCH(349,Players!$K$4:$K$503,0)),"")</f>
        <v/>
      </c>
      <c r="B352" s="1" t="str">
        <f>IFERROR(INDEX(Players!$C$4:$C$503,MATCH(349,Players!$K$4:$K$503,0)),"")</f>
        <v/>
      </c>
      <c r="C352" s="1" t="str">
        <f>IFERROR(INDEX(Players!$D$4:$D$503,MATCH(349,Players!$K$4:$K$503,0)),"")</f>
        <v/>
      </c>
      <c r="D352" s="7" t="str">
        <f>IFERROR(INDEX(Players!$E$4:$E$503,MATCH(349,Players!$K$4:$K$503,0)),"")</f>
        <v/>
      </c>
      <c r="E352" s="1" t="str">
        <f>IFERROR(INDEX(Players!$G$4:$G$503,MATCH(349,Players!$K$4:$K$503,0)),"")</f>
        <v/>
      </c>
      <c r="F352" s="7" t="str">
        <f>IFERROR(INDEX(Players!$H$4:$H$503,MATCH(349,Players!$K$4:$K$503,0)),"")</f>
        <v/>
      </c>
      <c r="G352" s="1" t="str">
        <f>IFERROR(INDEX(Players!$I$4:$I$503,MATCH(349,Players!$K$4:$K$503,0)),"")</f>
        <v/>
      </c>
    </row>
    <row r="353" spans="1:7">
      <c r="A353" s="1" t="str">
        <f>IFERROR(INDEX(Players!$B$4:$B$503,MATCH(350,Players!$K$4:$K$503,0)),"")</f>
        <v/>
      </c>
      <c r="B353" s="1" t="str">
        <f>IFERROR(INDEX(Players!$C$4:$C$503,MATCH(350,Players!$K$4:$K$503,0)),"")</f>
        <v/>
      </c>
      <c r="C353" s="1" t="str">
        <f>IFERROR(INDEX(Players!$D$4:$D$503,MATCH(350,Players!$K$4:$K$503,0)),"")</f>
        <v/>
      </c>
      <c r="D353" s="7" t="str">
        <f>IFERROR(INDEX(Players!$E$4:$E$503,MATCH(350,Players!$K$4:$K$503,0)),"")</f>
        <v/>
      </c>
      <c r="E353" s="1" t="str">
        <f>IFERROR(INDEX(Players!$G$4:$G$503,MATCH(350,Players!$K$4:$K$503,0)),"")</f>
        <v/>
      </c>
      <c r="F353" s="7" t="str">
        <f>IFERROR(INDEX(Players!$H$4:$H$503,MATCH(350,Players!$K$4:$K$503,0)),"")</f>
        <v/>
      </c>
      <c r="G353" s="1" t="str">
        <f>IFERROR(INDEX(Players!$I$4:$I$503,MATCH(350,Players!$K$4:$K$503,0)),"")</f>
        <v/>
      </c>
    </row>
    <row r="354" spans="1:7">
      <c r="A354" s="1" t="str">
        <f>IFERROR(INDEX(Players!$B$4:$B$503,MATCH(351,Players!$K$4:$K$503,0)),"")</f>
        <v/>
      </c>
      <c r="B354" s="1" t="str">
        <f>IFERROR(INDEX(Players!$C$4:$C$503,MATCH(351,Players!$K$4:$K$503,0)),"")</f>
        <v/>
      </c>
      <c r="C354" s="1" t="str">
        <f>IFERROR(INDEX(Players!$D$4:$D$503,MATCH(351,Players!$K$4:$K$503,0)),"")</f>
        <v/>
      </c>
      <c r="D354" s="7" t="str">
        <f>IFERROR(INDEX(Players!$E$4:$E$503,MATCH(351,Players!$K$4:$K$503,0)),"")</f>
        <v/>
      </c>
      <c r="E354" s="1" t="str">
        <f>IFERROR(INDEX(Players!$G$4:$G$503,MATCH(351,Players!$K$4:$K$503,0)),"")</f>
        <v/>
      </c>
      <c r="F354" s="7" t="str">
        <f>IFERROR(INDEX(Players!$H$4:$H$503,MATCH(351,Players!$K$4:$K$503,0)),"")</f>
        <v/>
      </c>
      <c r="G354" s="1" t="str">
        <f>IFERROR(INDEX(Players!$I$4:$I$503,MATCH(351,Players!$K$4:$K$503,0)),"")</f>
        <v/>
      </c>
    </row>
    <row r="355" spans="1:7">
      <c r="A355" s="1" t="str">
        <f>IFERROR(INDEX(Players!$B$4:$B$503,MATCH(352,Players!$K$4:$K$503,0)),"")</f>
        <v/>
      </c>
      <c r="B355" s="1" t="str">
        <f>IFERROR(INDEX(Players!$C$4:$C$503,MATCH(352,Players!$K$4:$K$503,0)),"")</f>
        <v/>
      </c>
      <c r="C355" s="1" t="str">
        <f>IFERROR(INDEX(Players!$D$4:$D$503,MATCH(352,Players!$K$4:$K$503,0)),"")</f>
        <v/>
      </c>
      <c r="D355" s="7" t="str">
        <f>IFERROR(INDEX(Players!$E$4:$E$503,MATCH(352,Players!$K$4:$K$503,0)),"")</f>
        <v/>
      </c>
      <c r="E355" s="1" t="str">
        <f>IFERROR(INDEX(Players!$G$4:$G$503,MATCH(352,Players!$K$4:$K$503,0)),"")</f>
        <v/>
      </c>
      <c r="F355" s="7" t="str">
        <f>IFERROR(INDEX(Players!$H$4:$H$503,MATCH(352,Players!$K$4:$K$503,0)),"")</f>
        <v/>
      </c>
      <c r="G355" s="1" t="str">
        <f>IFERROR(INDEX(Players!$I$4:$I$503,MATCH(352,Players!$K$4:$K$503,0)),"")</f>
        <v/>
      </c>
    </row>
    <row r="356" spans="1:7">
      <c r="A356" s="1" t="str">
        <f>IFERROR(INDEX(Players!$B$4:$B$503,MATCH(353,Players!$K$4:$K$503,0)),"")</f>
        <v/>
      </c>
      <c r="B356" s="1" t="str">
        <f>IFERROR(INDEX(Players!$C$4:$C$503,MATCH(353,Players!$K$4:$K$503,0)),"")</f>
        <v/>
      </c>
      <c r="C356" s="1" t="str">
        <f>IFERROR(INDEX(Players!$D$4:$D$503,MATCH(353,Players!$K$4:$K$503,0)),"")</f>
        <v/>
      </c>
      <c r="D356" s="7" t="str">
        <f>IFERROR(INDEX(Players!$E$4:$E$503,MATCH(353,Players!$K$4:$K$503,0)),"")</f>
        <v/>
      </c>
      <c r="E356" s="1" t="str">
        <f>IFERROR(INDEX(Players!$G$4:$G$503,MATCH(353,Players!$K$4:$K$503,0)),"")</f>
        <v/>
      </c>
      <c r="F356" s="7" t="str">
        <f>IFERROR(INDEX(Players!$H$4:$H$503,MATCH(353,Players!$K$4:$K$503,0)),"")</f>
        <v/>
      </c>
      <c r="G356" s="1" t="str">
        <f>IFERROR(INDEX(Players!$I$4:$I$503,MATCH(353,Players!$K$4:$K$503,0)),"")</f>
        <v/>
      </c>
    </row>
    <row r="357" spans="1:7">
      <c r="A357" s="1" t="str">
        <f>IFERROR(INDEX(Players!$B$4:$B$503,MATCH(354,Players!$K$4:$K$503,0)),"")</f>
        <v/>
      </c>
      <c r="B357" s="1" t="str">
        <f>IFERROR(INDEX(Players!$C$4:$C$503,MATCH(354,Players!$K$4:$K$503,0)),"")</f>
        <v/>
      </c>
      <c r="C357" s="1" t="str">
        <f>IFERROR(INDEX(Players!$D$4:$D$503,MATCH(354,Players!$K$4:$K$503,0)),"")</f>
        <v/>
      </c>
      <c r="D357" s="7" t="str">
        <f>IFERROR(INDEX(Players!$E$4:$E$503,MATCH(354,Players!$K$4:$K$503,0)),"")</f>
        <v/>
      </c>
      <c r="E357" s="1" t="str">
        <f>IFERROR(INDEX(Players!$G$4:$G$503,MATCH(354,Players!$K$4:$K$503,0)),"")</f>
        <v/>
      </c>
      <c r="F357" s="7" t="str">
        <f>IFERROR(INDEX(Players!$H$4:$H$503,MATCH(354,Players!$K$4:$K$503,0)),"")</f>
        <v/>
      </c>
      <c r="G357" s="1" t="str">
        <f>IFERROR(INDEX(Players!$I$4:$I$503,MATCH(354,Players!$K$4:$K$503,0)),"")</f>
        <v/>
      </c>
    </row>
    <row r="358" spans="1:7">
      <c r="A358" s="1" t="str">
        <f>IFERROR(INDEX(Players!$B$4:$B$503,MATCH(355,Players!$K$4:$K$503,0)),"")</f>
        <v/>
      </c>
      <c r="B358" s="1" t="str">
        <f>IFERROR(INDEX(Players!$C$4:$C$503,MATCH(355,Players!$K$4:$K$503,0)),"")</f>
        <v/>
      </c>
      <c r="C358" s="1" t="str">
        <f>IFERROR(INDEX(Players!$D$4:$D$503,MATCH(355,Players!$K$4:$K$503,0)),"")</f>
        <v/>
      </c>
      <c r="D358" s="7" t="str">
        <f>IFERROR(INDEX(Players!$E$4:$E$503,MATCH(355,Players!$K$4:$K$503,0)),"")</f>
        <v/>
      </c>
      <c r="E358" s="1" t="str">
        <f>IFERROR(INDEX(Players!$G$4:$G$503,MATCH(355,Players!$K$4:$K$503,0)),"")</f>
        <v/>
      </c>
      <c r="F358" s="7" t="str">
        <f>IFERROR(INDEX(Players!$H$4:$H$503,MATCH(355,Players!$K$4:$K$503,0)),"")</f>
        <v/>
      </c>
      <c r="G358" s="1" t="str">
        <f>IFERROR(INDEX(Players!$I$4:$I$503,MATCH(355,Players!$K$4:$K$503,0)),"")</f>
        <v/>
      </c>
    </row>
    <row r="359" spans="1:7">
      <c r="A359" s="1" t="str">
        <f>IFERROR(INDEX(Players!$B$4:$B$503,MATCH(356,Players!$K$4:$K$503,0)),"")</f>
        <v/>
      </c>
      <c r="B359" s="1" t="str">
        <f>IFERROR(INDEX(Players!$C$4:$C$503,MATCH(356,Players!$K$4:$K$503,0)),"")</f>
        <v/>
      </c>
      <c r="C359" s="1" t="str">
        <f>IFERROR(INDEX(Players!$D$4:$D$503,MATCH(356,Players!$K$4:$K$503,0)),"")</f>
        <v/>
      </c>
      <c r="D359" s="7" t="str">
        <f>IFERROR(INDEX(Players!$E$4:$E$503,MATCH(356,Players!$K$4:$K$503,0)),"")</f>
        <v/>
      </c>
      <c r="E359" s="1" t="str">
        <f>IFERROR(INDEX(Players!$G$4:$G$503,MATCH(356,Players!$K$4:$K$503,0)),"")</f>
        <v/>
      </c>
      <c r="F359" s="7" t="str">
        <f>IFERROR(INDEX(Players!$H$4:$H$503,MATCH(356,Players!$K$4:$K$503,0)),"")</f>
        <v/>
      </c>
      <c r="G359" s="1" t="str">
        <f>IFERROR(INDEX(Players!$I$4:$I$503,MATCH(356,Players!$K$4:$K$503,0)),"")</f>
        <v/>
      </c>
    </row>
    <row r="360" spans="1:7">
      <c r="A360" s="1" t="str">
        <f>IFERROR(INDEX(Players!$B$4:$B$503,MATCH(357,Players!$K$4:$K$503,0)),"")</f>
        <v/>
      </c>
      <c r="B360" s="1" t="str">
        <f>IFERROR(INDEX(Players!$C$4:$C$503,MATCH(357,Players!$K$4:$K$503,0)),"")</f>
        <v/>
      </c>
      <c r="C360" s="1" t="str">
        <f>IFERROR(INDEX(Players!$D$4:$D$503,MATCH(357,Players!$K$4:$K$503,0)),"")</f>
        <v/>
      </c>
      <c r="D360" s="7" t="str">
        <f>IFERROR(INDEX(Players!$E$4:$E$503,MATCH(357,Players!$K$4:$K$503,0)),"")</f>
        <v/>
      </c>
      <c r="E360" s="1" t="str">
        <f>IFERROR(INDEX(Players!$G$4:$G$503,MATCH(357,Players!$K$4:$K$503,0)),"")</f>
        <v/>
      </c>
      <c r="F360" s="7" t="str">
        <f>IFERROR(INDEX(Players!$H$4:$H$503,MATCH(357,Players!$K$4:$K$503,0)),"")</f>
        <v/>
      </c>
      <c r="G360" s="1" t="str">
        <f>IFERROR(INDEX(Players!$I$4:$I$503,MATCH(357,Players!$K$4:$K$503,0)),"")</f>
        <v/>
      </c>
    </row>
    <row r="361" spans="1:7">
      <c r="A361" s="1" t="str">
        <f>IFERROR(INDEX(Players!$B$4:$B$503,MATCH(358,Players!$K$4:$K$503,0)),"")</f>
        <v/>
      </c>
      <c r="B361" s="1" t="str">
        <f>IFERROR(INDEX(Players!$C$4:$C$503,MATCH(358,Players!$K$4:$K$503,0)),"")</f>
        <v/>
      </c>
      <c r="C361" s="1" t="str">
        <f>IFERROR(INDEX(Players!$D$4:$D$503,MATCH(358,Players!$K$4:$K$503,0)),"")</f>
        <v/>
      </c>
      <c r="D361" s="7" t="str">
        <f>IFERROR(INDEX(Players!$E$4:$E$503,MATCH(358,Players!$K$4:$K$503,0)),"")</f>
        <v/>
      </c>
      <c r="E361" s="1" t="str">
        <f>IFERROR(INDEX(Players!$G$4:$G$503,MATCH(358,Players!$K$4:$K$503,0)),"")</f>
        <v/>
      </c>
      <c r="F361" s="7" t="str">
        <f>IFERROR(INDEX(Players!$H$4:$H$503,MATCH(358,Players!$K$4:$K$503,0)),"")</f>
        <v/>
      </c>
      <c r="G361" s="1" t="str">
        <f>IFERROR(INDEX(Players!$I$4:$I$503,MATCH(358,Players!$K$4:$K$503,0)),"")</f>
        <v/>
      </c>
    </row>
    <row r="362" spans="1:7">
      <c r="A362" s="1" t="str">
        <f>IFERROR(INDEX(Players!$B$4:$B$503,MATCH(359,Players!$K$4:$K$503,0)),"")</f>
        <v/>
      </c>
      <c r="B362" s="1" t="str">
        <f>IFERROR(INDEX(Players!$C$4:$C$503,MATCH(359,Players!$K$4:$K$503,0)),"")</f>
        <v/>
      </c>
      <c r="C362" s="1" t="str">
        <f>IFERROR(INDEX(Players!$D$4:$D$503,MATCH(359,Players!$K$4:$K$503,0)),"")</f>
        <v/>
      </c>
      <c r="D362" s="7" t="str">
        <f>IFERROR(INDEX(Players!$E$4:$E$503,MATCH(359,Players!$K$4:$K$503,0)),"")</f>
        <v/>
      </c>
      <c r="E362" s="1" t="str">
        <f>IFERROR(INDEX(Players!$G$4:$G$503,MATCH(359,Players!$K$4:$K$503,0)),"")</f>
        <v/>
      </c>
      <c r="F362" s="7" t="str">
        <f>IFERROR(INDEX(Players!$H$4:$H$503,MATCH(359,Players!$K$4:$K$503,0)),"")</f>
        <v/>
      </c>
      <c r="G362" s="1" t="str">
        <f>IFERROR(INDEX(Players!$I$4:$I$503,MATCH(359,Players!$K$4:$K$503,0)),"")</f>
        <v/>
      </c>
    </row>
    <row r="363" spans="1:7">
      <c r="A363" s="1" t="str">
        <f>IFERROR(INDEX(Players!$B$4:$B$503,MATCH(360,Players!$K$4:$K$503,0)),"")</f>
        <v/>
      </c>
      <c r="B363" s="1" t="str">
        <f>IFERROR(INDEX(Players!$C$4:$C$503,MATCH(360,Players!$K$4:$K$503,0)),"")</f>
        <v/>
      </c>
      <c r="C363" s="1" t="str">
        <f>IFERROR(INDEX(Players!$D$4:$D$503,MATCH(360,Players!$K$4:$K$503,0)),"")</f>
        <v/>
      </c>
      <c r="D363" s="7" t="str">
        <f>IFERROR(INDEX(Players!$E$4:$E$503,MATCH(360,Players!$K$4:$K$503,0)),"")</f>
        <v/>
      </c>
      <c r="E363" s="1" t="str">
        <f>IFERROR(INDEX(Players!$G$4:$G$503,MATCH(360,Players!$K$4:$K$503,0)),"")</f>
        <v/>
      </c>
      <c r="F363" s="7" t="str">
        <f>IFERROR(INDEX(Players!$H$4:$H$503,MATCH(360,Players!$K$4:$K$503,0)),"")</f>
        <v/>
      </c>
      <c r="G363" s="1" t="str">
        <f>IFERROR(INDEX(Players!$I$4:$I$503,MATCH(360,Players!$K$4:$K$503,0)),"")</f>
        <v/>
      </c>
    </row>
    <row r="364" spans="1:7">
      <c r="A364" s="1" t="str">
        <f>IFERROR(INDEX(Players!$B$4:$B$503,MATCH(361,Players!$K$4:$K$503,0)),"")</f>
        <v/>
      </c>
      <c r="B364" s="1" t="str">
        <f>IFERROR(INDEX(Players!$C$4:$C$503,MATCH(361,Players!$K$4:$K$503,0)),"")</f>
        <v/>
      </c>
      <c r="C364" s="1" t="str">
        <f>IFERROR(INDEX(Players!$D$4:$D$503,MATCH(361,Players!$K$4:$K$503,0)),"")</f>
        <v/>
      </c>
      <c r="D364" s="7" t="str">
        <f>IFERROR(INDEX(Players!$E$4:$E$503,MATCH(361,Players!$K$4:$K$503,0)),"")</f>
        <v/>
      </c>
      <c r="E364" s="1" t="str">
        <f>IFERROR(INDEX(Players!$G$4:$G$503,MATCH(361,Players!$K$4:$K$503,0)),"")</f>
        <v/>
      </c>
      <c r="F364" s="7" t="str">
        <f>IFERROR(INDEX(Players!$H$4:$H$503,MATCH(361,Players!$K$4:$K$503,0)),"")</f>
        <v/>
      </c>
      <c r="G364" s="1" t="str">
        <f>IFERROR(INDEX(Players!$I$4:$I$503,MATCH(361,Players!$K$4:$K$503,0)),"")</f>
        <v/>
      </c>
    </row>
    <row r="365" spans="1:7">
      <c r="A365" s="1" t="str">
        <f>IFERROR(INDEX(Players!$B$4:$B$503,MATCH(362,Players!$K$4:$K$503,0)),"")</f>
        <v/>
      </c>
      <c r="B365" s="1" t="str">
        <f>IFERROR(INDEX(Players!$C$4:$C$503,MATCH(362,Players!$K$4:$K$503,0)),"")</f>
        <v/>
      </c>
      <c r="C365" s="1" t="str">
        <f>IFERROR(INDEX(Players!$D$4:$D$503,MATCH(362,Players!$K$4:$K$503,0)),"")</f>
        <v/>
      </c>
      <c r="D365" s="7" t="str">
        <f>IFERROR(INDEX(Players!$E$4:$E$503,MATCH(362,Players!$K$4:$K$503,0)),"")</f>
        <v/>
      </c>
      <c r="E365" s="1" t="str">
        <f>IFERROR(INDEX(Players!$G$4:$G$503,MATCH(362,Players!$K$4:$K$503,0)),"")</f>
        <v/>
      </c>
      <c r="F365" s="7" t="str">
        <f>IFERROR(INDEX(Players!$H$4:$H$503,MATCH(362,Players!$K$4:$K$503,0)),"")</f>
        <v/>
      </c>
      <c r="G365" s="1" t="str">
        <f>IFERROR(INDEX(Players!$I$4:$I$503,MATCH(362,Players!$K$4:$K$503,0)),"")</f>
        <v/>
      </c>
    </row>
    <row r="366" spans="1:7">
      <c r="A366" s="1" t="str">
        <f>IFERROR(INDEX(Players!$B$4:$B$503,MATCH(363,Players!$K$4:$K$503,0)),"")</f>
        <v/>
      </c>
      <c r="B366" s="1" t="str">
        <f>IFERROR(INDEX(Players!$C$4:$C$503,MATCH(363,Players!$K$4:$K$503,0)),"")</f>
        <v/>
      </c>
      <c r="C366" s="1" t="str">
        <f>IFERROR(INDEX(Players!$D$4:$D$503,MATCH(363,Players!$K$4:$K$503,0)),"")</f>
        <v/>
      </c>
      <c r="D366" s="7" t="str">
        <f>IFERROR(INDEX(Players!$E$4:$E$503,MATCH(363,Players!$K$4:$K$503,0)),"")</f>
        <v/>
      </c>
      <c r="E366" s="1" t="str">
        <f>IFERROR(INDEX(Players!$G$4:$G$503,MATCH(363,Players!$K$4:$K$503,0)),"")</f>
        <v/>
      </c>
      <c r="F366" s="7" t="str">
        <f>IFERROR(INDEX(Players!$H$4:$H$503,MATCH(363,Players!$K$4:$K$503,0)),"")</f>
        <v/>
      </c>
      <c r="G366" s="1" t="str">
        <f>IFERROR(INDEX(Players!$I$4:$I$503,MATCH(363,Players!$K$4:$K$503,0)),"")</f>
        <v/>
      </c>
    </row>
    <row r="367" spans="1:7">
      <c r="A367" s="1" t="str">
        <f>IFERROR(INDEX(Players!$B$4:$B$503,MATCH(364,Players!$K$4:$K$503,0)),"")</f>
        <v/>
      </c>
      <c r="B367" s="1" t="str">
        <f>IFERROR(INDEX(Players!$C$4:$C$503,MATCH(364,Players!$K$4:$K$503,0)),"")</f>
        <v/>
      </c>
      <c r="C367" s="1" t="str">
        <f>IFERROR(INDEX(Players!$D$4:$D$503,MATCH(364,Players!$K$4:$K$503,0)),"")</f>
        <v/>
      </c>
      <c r="D367" s="7" t="str">
        <f>IFERROR(INDEX(Players!$E$4:$E$503,MATCH(364,Players!$K$4:$K$503,0)),"")</f>
        <v/>
      </c>
      <c r="E367" s="1" t="str">
        <f>IFERROR(INDEX(Players!$G$4:$G$503,MATCH(364,Players!$K$4:$K$503,0)),"")</f>
        <v/>
      </c>
      <c r="F367" s="7" t="str">
        <f>IFERROR(INDEX(Players!$H$4:$H$503,MATCH(364,Players!$K$4:$K$503,0)),"")</f>
        <v/>
      </c>
      <c r="G367" s="1" t="str">
        <f>IFERROR(INDEX(Players!$I$4:$I$503,MATCH(364,Players!$K$4:$K$503,0)),"")</f>
        <v/>
      </c>
    </row>
    <row r="368" spans="1:7">
      <c r="A368" s="1" t="str">
        <f>IFERROR(INDEX(Players!$B$4:$B$503,MATCH(365,Players!$K$4:$K$503,0)),"")</f>
        <v/>
      </c>
      <c r="B368" s="1" t="str">
        <f>IFERROR(INDEX(Players!$C$4:$C$503,MATCH(365,Players!$K$4:$K$503,0)),"")</f>
        <v/>
      </c>
      <c r="C368" s="1" t="str">
        <f>IFERROR(INDEX(Players!$D$4:$D$503,MATCH(365,Players!$K$4:$K$503,0)),"")</f>
        <v/>
      </c>
      <c r="D368" s="7" t="str">
        <f>IFERROR(INDEX(Players!$E$4:$E$503,MATCH(365,Players!$K$4:$K$503,0)),"")</f>
        <v/>
      </c>
      <c r="E368" s="1" t="str">
        <f>IFERROR(INDEX(Players!$G$4:$G$503,MATCH(365,Players!$K$4:$K$503,0)),"")</f>
        <v/>
      </c>
      <c r="F368" s="7" t="str">
        <f>IFERROR(INDEX(Players!$H$4:$H$503,MATCH(365,Players!$K$4:$K$503,0)),"")</f>
        <v/>
      </c>
      <c r="G368" s="1" t="str">
        <f>IFERROR(INDEX(Players!$I$4:$I$503,MATCH(365,Players!$K$4:$K$503,0)),"")</f>
        <v/>
      </c>
    </row>
    <row r="369" spans="1:7">
      <c r="A369" s="1" t="str">
        <f>IFERROR(INDEX(Players!$B$4:$B$503,MATCH(366,Players!$K$4:$K$503,0)),"")</f>
        <v/>
      </c>
      <c r="B369" s="1" t="str">
        <f>IFERROR(INDEX(Players!$C$4:$C$503,MATCH(366,Players!$K$4:$K$503,0)),"")</f>
        <v/>
      </c>
      <c r="C369" s="1" t="str">
        <f>IFERROR(INDEX(Players!$D$4:$D$503,MATCH(366,Players!$K$4:$K$503,0)),"")</f>
        <v/>
      </c>
      <c r="D369" s="7" t="str">
        <f>IFERROR(INDEX(Players!$E$4:$E$503,MATCH(366,Players!$K$4:$K$503,0)),"")</f>
        <v/>
      </c>
      <c r="E369" s="1" t="str">
        <f>IFERROR(INDEX(Players!$G$4:$G$503,MATCH(366,Players!$K$4:$K$503,0)),"")</f>
        <v/>
      </c>
      <c r="F369" s="7" t="str">
        <f>IFERROR(INDEX(Players!$H$4:$H$503,MATCH(366,Players!$K$4:$K$503,0)),"")</f>
        <v/>
      </c>
      <c r="G369" s="1" t="str">
        <f>IFERROR(INDEX(Players!$I$4:$I$503,MATCH(366,Players!$K$4:$K$503,0)),"")</f>
        <v/>
      </c>
    </row>
    <row r="370" spans="1:7">
      <c r="A370" s="1" t="str">
        <f>IFERROR(INDEX(Players!$B$4:$B$503,MATCH(367,Players!$K$4:$K$503,0)),"")</f>
        <v/>
      </c>
      <c r="B370" s="1" t="str">
        <f>IFERROR(INDEX(Players!$C$4:$C$503,MATCH(367,Players!$K$4:$K$503,0)),"")</f>
        <v/>
      </c>
      <c r="C370" s="1" t="str">
        <f>IFERROR(INDEX(Players!$D$4:$D$503,MATCH(367,Players!$K$4:$K$503,0)),"")</f>
        <v/>
      </c>
      <c r="D370" s="7" t="str">
        <f>IFERROR(INDEX(Players!$E$4:$E$503,MATCH(367,Players!$K$4:$K$503,0)),"")</f>
        <v/>
      </c>
      <c r="E370" s="1" t="str">
        <f>IFERROR(INDEX(Players!$G$4:$G$503,MATCH(367,Players!$K$4:$K$503,0)),"")</f>
        <v/>
      </c>
      <c r="F370" s="7" t="str">
        <f>IFERROR(INDEX(Players!$H$4:$H$503,MATCH(367,Players!$K$4:$K$503,0)),"")</f>
        <v/>
      </c>
      <c r="G370" s="1" t="str">
        <f>IFERROR(INDEX(Players!$I$4:$I$503,MATCH(367,Players!$K$4:$K$503,0)),"")</f>
        <v/>
      </c>
    </row>
    <row r="371" spans="1:7">
      <c r="A371" s="1" t="str">
        <f>IFERROR(INDEX(Players!$B$4:$B$503,MATCH(368,Players!$K$4:$K$503,0)),"")</f>
        <v/>
      </c>
      <c r="B371" s="1" t="str">
        <f>IFERROR(INDEX(Players!$C$4:$C$503,MATCH(368,Players!$K$4:$K$503,0)),"")</f>
        <v/>
      </c>
      <c r="C371" s="1" t="str">
        <f>IFERROR(INDEX(Players!$D$4:$D$503,MATCH(368,Players!$K$4:$K$503,0)),"")</f>
        <v/>
      </c>
      <c r="D371" s="7" t="str">
        <f>IFERROR(INDEX(Players!$E$4:$E$503,MATCH(368,Players!$K$4:$K$503,0)),"")</f>
        <v/>
      </c>
      <c r="E371" s="1" t="str">
        <f>IFERROR(INDEX(Players!$G$4:$G$503,MATCH(368,Players!$K$4:$K$503,0)),"")</f>
        <v/>
      </c>
      <c r="F371" s="7" t="str">
        <f>IFERROR(INDEX(Players!$H$4:$H$503,MATCH(368,Players!$K$4:$K$503,0)),"")</f>
        <v/>
      </c>
      <c r="G371" s="1" t="str">
        <f>IFERROR(INDEX(Players!$I$4:$I$503,MATCH(368,Players!$K$4:$K$503,0)),"")</f>
        <v/>
      </c>
    </row>
    <row r="372" spans="1:7">
      <c r="A372" s="1" t="str">
        <f>IFERROR(INDEX(Players!$B$4:$B$503,MATCH(369,Players!$K$4:$K$503,0)),"")</f>
        <v/>
      </c>
      <c r="B372" s="1" t="str">
        <f>IFERROR(INDEX(Players!$C$4:$C$503,MATCH(369,Players!$K$4:$K$503,0)),"")</f>
        <v/>
      </c>
      <c r="C372" s="1" t="str">
        <f>IFERROR(INDEX(Players!$D$4:$D$503,MATCH(369,Players!$K$4:$K$503,0)),"")</f>
        <v/>
      </c>
      <c r="D372" s="7" t="str">
        <f>IFERROR(INDEX(Players!$E$4:$E$503,MATCH(369,Players!$K$4:$K$503,0)),"")</f>
        <v/>
      </c>
      <c r="E372" s="1" t="str">
        <f>IFERROR(INDEX(Players!$G$4:$G$503,MATCH(369,Players!$K$4:$K$503,0)),"")</f>
        <v/>
      </c>
      <c r="F372" s="7" t="str">
        <f>IFERROR(INDEX(Players!$H$4:$H$503,MATCH(369,Players!$K$4:$K$503,0)),"")</f>
        <v/>
      </c>
      <c r="G372" s="1" t="str">
        <f>IFERROR(INDEX(Players!$I$4:$I$503,MATCH(369,Players!$K$4:$K$503,0)),"")</f>
        <v/>
      </c>
    </row>
    <row r="373" spans="1:7">
      <c r="A373" s="1" t="str">
        <f>IFERROR(INDEX(Players!$B$4:$B$503,MATCH(370,Players!$K$4:$K$503,0)),"")</f>
        <v/>
      </c>
      <c r="B373" s="1" t="str">
        <f>IFERROR(INDEX(Players!$C$4:$C$503,MATCH(370,Players!$K$4:$K$503,0)),"")</f>
        <v/>
      </c>
      <c r="C373" s="1" t="str">
        <f>IFERROR(INDEX(Players!$D$4:$D$503,MATCH(370,Players!$K$4:$K$503,0)),"")</f>
        <v/>
      </c>
      <c r="D373" s="7" t="str">
        <f>IFERROR(INDEX(Players!$E$4:$E$503,MATCH(370,Players!$K$4:$K$503,0)),"")</f>
        <v/>
      </c>
      <c r="E373" s="1" t="str">
        <f>IFERROR(INDEX(Players!$G$4:$G$503,MATCH(370,Players!$K$4:$K$503,0)),"")</f>
        <v/>
      </c>
      <c r="F373" s="7" t="str">
        <f>IFERROR(INDEX(Players!$H$4:$H$503,MATCH(370,Players!$K$4:$K$503,0)),"")</f>
        <v/>
      </c>
      <c r="G373" s="1" t="str">
        <f>IFERROR(INDEX(Players!$I$4:$I$503,MATCH(370,Players!$K$4:$K$503,0)),"")</f>
        <v/>
      </c>
    </row>
    <row r="374" spans="1:7">
      <c r="A374" s="1" t="str">
        <f>IFERROR(INDEX(Players!$B$4:$B$503,MATCH(371,Players!$K$4:$K$503,0)),"")</f>
        <v/>
      </c>
      <c r="B374" s="1" t="str">
        <f>IFERROR(INDEX(Players!$C$4:$C$503,MATCH(371,Players!$K$4:$K$503,0)),"")</f>
        <v/>
      </c>
      <c r="C374" s="1" t="str">
        <f>IFERROR(INDEX(Players!$D$4:$D$503,MATCH(371,Players!$K$4:$K$503,0)),"")</f>
        <v/>
      </c>
      <c r="D374" s="7" t="str">
        <f>IFERROR(INDEX(Players!$E$4:$E$503,MATCH(371,Players!$K$4:$K$503,0)),"")</f>
        <v/>
      </c>
      <c r="E374" s="1" t="str">
        <f>IFERROR(INDEX(Players!$G$4:$G$503,MATCH(371,Players!$K$4:$K$503,0)),"")</f>
        <v/>
      </c>
      <c r="F374" s="7" t="str">
        <f>IFERROR(INDEX(Players!$H$4:$H$503,MATCH(371,Players!$K$4:$K$503,0)),"")</f>
        <v/>
      </c>
      <c r="G374" s="1" t="str">
        <f>IFERROR(INDEX(Players!$I$4:$I$503,MATCH(371,Players!$K$4:$K$503,0)),"")</f>
        <v/>
      </c>
    </row>
    <row r="375" spans="1:7">
      <c r="A375" s="1" t="str">
        <f>IFERROR(INDEX(Players!$B$4:$B$503,MATCH(372,Players!$K$4:$K$503,0)),"")</f>
        <v/>
      </c>
      <c r="B375" s="1" t="str">
        <f>IFERROR(INDEX(Players!$C$4:$C$503,MATCH(372,Players!$K$4:$K$503,0)),"")</f>
        <v/>
      </c>
      <c r="C375" s="1" t="str">
        <f>IFERROR(INDEX(Players!$D$4:$D$503,MATCH(372,Players!$K$4:$K$503,0)),"")</f>
        <v/>
      </c>
      <c r="D375" s="7" t="str">
        <f>IFERROR(INDEX(Players!$E$4:$E$503,MATCH(372,Players!$K$4:$K$503,0)),"")</f>
        <v/>
      </c>
      <c r="E375" s="1" t="str">
        <f>IFERROR(INDEX(Players!$G$4:$G$503,MATCH(372,Players!$K$4:$K$503,0)),"")</f>
        <v/>
      </c>
      <c r="F375" s="7" t="str">
        <f>IFERROR(INDEX(Players!$H$4:$H$503,MATCH(372,Players!$K$4:$K$503,0)),"")</f>
        <v/>
      </c>
      <c r="G375" s="1" t="str">
        <f>IFERROR(INDEX(Players!$I$4:$I$503,MATCH(372,Players!$K$4:$K$503,0)),"")</f>
        <v/>
      </c>
    </row>
    <row r="376" spans="1:7">
      <c r="A376" s="1" t="str">
        <f>IFERROR(INDEX(Players!$B$4:$B$503,MATCH(373,Players!$K$4:$K$503,0)),"")</f>
        <v/>
      </c>
      <c r="B376" s="1" t="str">
        <f>IFERROR(INDEX(Players!$C$4:$C$503,MATCH(373,Players!$K$4:$K$503,0)),"")</f>
        <v/>
      </c>
      <c r="C376" s="1" t="str">
        <f>IFERROR(INDEX(Players!$D$4:$D$503,MATCH(373,Players!$K$4:$K$503,0)),"")</f>
        <v/>
      </c>
      <c r="D376" s="7" t="str">
        <f>IFERROR(INDEX(Players!$E$4:$E$503,MATCH(373,Players!$K$4:$K$503,0)),"")</f>
        <v/>
      </c>
      <c r="E376" s="1" t="str">
        <f>IFERROR(INDEX(Players!$G$4:$G$503,MATCH(373,Players!$K$4:$K$503,0)),"")</f>
        <v/>
      </c>
      <c r="F376" s="7" t="str">
        <f>IFERROR(INDEX(Players!$H$4:$H$503,MATCH(373,Players!$K$4:$K$503,0)),"")</f>
        <v/>
      </c>
      <c r="G376" s="1" t="str">
        <f>IFERROR(INDEX(Players!$I$4:$I$503,MATCH(373,Players!$K$4:$K$503,0)),"")</f>
        <v/>
      </c>
    </row>
    <row r="377" spans="1:7">
      <c r="A377" s="1" t="str">
        <f>IFERROR(INDEX(Players!$B$4:$B$503,MATCH(374,Players!$K$4:$K$503,0)),"")</f>
        <v/>
      </c>
      <c r="B377" s="1" t="str">
        <f>IFERROR(INDEX(Players!$C$4:$C$503,MATCH(374,Players!$K$4:$K$503,0)),"")</f>
        <v/>
      </c>
      <c r="C377" s="1" t="str">
        <f>IFERROR(INDEX(Players!$D$4:$D$503,MATCH(374,Players!$K$4:$K$503,0)),"")</f>
        <v/>
      </c>
      <c r="D377" s="7" t="str">
        <f>IFERROR(INDEX(Players!$E$4:$E$503,MATCH(374,Players!$K$4:$K$503,0)),"")</f>
        <v/>
      </c>
      <c r="E377" s="1" t="str">
        <f>IFERROR(INDEX(Players!$G$4:$G$503,MATCH(374,Players!$K$4:$K$503,0)),"")</f>
        <v/>
      </c>
      <c r="F377" s="7" t="str">
        <f>IFERROR(INDEX(Players!$H$4:$H$503,MATCH(374,Players!$K$4:$K$503,0)),"")</f>
        <v/>
      </c>
      <c r="G377" s="1" t="str">
        <f>IFERROR(INDEX(Players!$I$4:$I$503,MATCH(374,Players!$K$4:$K$503,0)),"")</f>
        <v/>
      </c>
    </row>
    <row r="378" spans="1:7">
      <c r="A378" s="1" t="str">
        <f>IFERROR(INDEX(Players!$B$4:$B$503,MATCH(375,Players!$K$4:$K$503,0)),"")</f>
        <v/>
      </c>
      <c r="B378" s="1" t="str">
        <f>IFERROR(INDEX(Players!$C$4:$C$503,MATCH(375,Players!$K$4:$K$503,0)),"")</f>
        <v/>
      </c>
      <c r="C378" s="1" t="str">
        <f>IFERROR(INDEX(Players!$D$4:$D$503,MATCH(375,Players!$K$4:$K$503,0)),"")</f>
        <v/>
      </c>
      <c r="D378" s="7" t="str">
        <f>IFERROR(INDEX(Players!$E$4:$E$503,MATCH(375,Players!$K$4:$K$503,0)),"")</f>
        <v/>
      </c>
      <c r="E378" s="1" t="str">
        <f>IFERROR(INDEX(Players!$G$4:$G$503,MATCH(375,Players!$K$4:$K$503,0)),"")</f>
        <v/>
      </c>
      <c r="F378" s="7" t="str">
        <f>IFERROR(INDEX(Players!$H$4:$H$503,MATCH(375,Players!$K$4:$K$503,0)),"")</f>
        <v/>
      </c>
      <c r="G378" s="1" t="str">
        <f>IFERROR(INDEX(Players!$I$4:$I$503,MATCH(375,Players!$K$4:$K$503,0)),"")</f>
        <v/>
      </c>
    </row>
    <row r="379" spans="1:7">
      <c r="A379" s="1" t="str">
        <f>IFERROR(INDEX(Players!$B$4:$B$503,MATCH(376,Players!$K$4:$K$503,0)),"")</f>
        <v/>
      </c>
      <c r="B379" s="1" t="str">
        <f>IFERROR(INDEX(Players!$C$4:$C$503,MATCH(376,Players!$K$4:$K$503,0)),"")</f>
        <v/>
      </c>
      <c r="C379" s="1" t="str">
        <f>IFERROR(INDEX(Players!$D$4:$D$503,MATCH(376,Players!$K$4:$K$503,0)),"")</f>
        <v/>
      </c>
      <c r="D379" s="7" t="str">
        <f>IFERROR(INDEX(Players!$E$4:$E$503,MATCH(376,Players!$K$4:$K$503,0)),"")</f>
        <v/>
      </c>
      <c r="E379" s="1" t="str">
        <f>IFERROR(INDEX(Players!$G$4:$G$503,MATCH(376,Players!$K$4:$K$503,0)),"")</f>
        <v/>
      </c>
      <c r="F379" s="7" t="str">
        <f>IFERROR(INDEX(Players!$H$4:$H$503,MATCH(376,Players!$K$4:$K$503,0)),"")</f>
        <v/>
      </c>
      <c r="G379" s="1" t="str">
        <f>IFERROR(INDEX(Players!$I$4:$I$503,MATCH(376,Players!$K$4:$K$503,0)),"")</f>
        <v/>
      </c>
    </row>
    <row r="380" spans="1:7">
      <c r="A380" s="1" t="str">
        <f>IFERROR(INDEX(Players!$B$4:$B$503,MATCH(377,Players!$K$4:$K$503,0)),"")</f>
        <v/>
      </c>
      <c r="B380" s="1" t="str">
        <f>IFERROR(INDEX(Players!$C$4:$C$503,MATCH(377,Players!$K$4:$K$503,0)),"")</f>
        <v/>
      </c>
      <c r="C380" s="1" t="str">
        <f>IFERROR(INDEX(Players!$D$4:$D$503,MATCH(377,Players!$K$4:$K$503,0)),"")</f>
        <v/>
      </c>
      <c r="D380" s="7" t="str">
        <f>IFERROR(INDEX(Players!$E$4:$E$503,MATCH(377,Players!$K$4:$K$503,0)),"")</f>
        <v/>
      </c>
      <c r="E380" s="1" t="str">
        <f>IFERROR(INDEX(Players!$G$4:$G$503,MATCH(377,Players!$K$4:$K$503,0)),"")</f>
        <v/>
      </c>
      <c r="F380" s="7" t="str">
        <f>IFERROR(INDEX(Players!$H$4:$H$503,MATCH(377,Players!$K$4:$K$503,0)),"")</f>
        <v/>
      </c>
      <c r="G380" s="1" t="str">
        <f>IFERROR(INDEX(Players!$I$4:$I$503,MATCH(377,Players!$K$4:$K$503,0)),"")</f>
        <v/>
      </c>
    </row>
    <row r="381" spans="1:7">
      <c r="A381" s="1" t="str">
        <f>IFERROR(INDEX(Players!$B$4:$B$503,MATCH(378,Players!$K$4:$K$503,0)),"")</f>
        <v/>
      </c>
      <c r="B381" s="1" t="str">
        <f>IFERROR(INDEX(Players!$C$4:$C$503,MATCH(378,Players!$K$4:$K$503,0)),"")</f>
        <v/>
      </c>
      <c r="C381" s="1" t="str">
        <f>IFERROR(INDEX(Players!$D$4:$D$503,MATCH(378,Players!$K$4:$K$503,0)),"")</f>
        <v/>
      </c>
      <c r="D381" s="7" t="str">
        <f>IFERROR(INDEX(Players!$E$4:$E$503,MATCH(378,Players!$K$4:$K$503,0)),"")</f>
        <v/>
      </c>
      <c r="E381" s="1" t="str">
        <f>IFERROR(INDEX(Players!$G$4:$G$503,MATCH(378,Players!$K$4:$K$503,0)),"")</f>
        <v/>
      </c>
      <c r="F381" s="7" t="str">
        <f>IFERROR(INDEX(Players!$H$4:$H$503,MATCH(378,Players!$K$4:$K$503,0)),"")</f>
        <v/>
      </c>
      <c r="G381" s="1" t="str">
        <f>IFERROR(INDEX(Players!$I$4:$I$503,MATCH(378,Players!$K$4:$K$503,0)),"")</f>
        <v/>
      </c>
    </row>
    <row r="382" spans="1:7">
      <c r="A382" s="1" t="str">
        <f>IFERROR(INDEX(Players!$B$4:$B$503,MATCH(379,Players!$K$4:$K$503,0)),"")</f>
        <v/>
      </c>
      <c r="B382" s="1" t="str">
        <f>IFERROR(INDEX(Players!$C$4:$C$503,MATCH(379,Players!$K$4:$K$503,0)),"")</f>
        <v/>
      </c>
      <c r="C382" s="1" t="str">
        <f>IFERROR(INDEX(Players!$D$4:$D$503,MATCH(379,Players!$K$4:$K$503,0)),"")</f>
        <v/>
      </c>
      <c r="D382" s="7" t="str">
        <f>IFERROR(INDEX(Players!$E$4:$E$503,MATCH(379,Players!$K$4:$K$503,0)),"")</f>
        <v/>
      </c>
      <c r="E382" s="1" t="str">
        <f>IFERROR(INDEX(Players!$G$4:$G$503,MATCH(379,Players!$K$4:$K$503,0)),"")</f>
        <v/>
      </c>
      <c r="F382" s="7" t="str">
        <f>IFERROR(INDEX(Players!$H$4:$H$503,MATCH(379,Players!$K$4:$K$503,0)),"")</f>
        <v/>
      </c>
      <c r="G382" s="1" t="str">
        <f>IFERROR(INDEX(Players!$I$4:$I$503,MATCH(379,Players!$K$4:$K$503,0)),"")</f>
        <v/>
      </c>
    </row>
    <row r="383" spans="1:7">
      <c r="A383" s="1" t="str">
        <f>IFERROR(INDEX(Players!$B$4:$B$503,MATCH(380,Players!$K$4:$K$503,0)),"")</f>
        <v/>
      </c>
      <c r="B383" s="1" t="str">
        <f>IFERROR(INDEX(Players!$C$4:$C$503,MATCH(380,Players!$K$4:$K$503,0)),"")</f>
        <v/>
      </c>
      <c r="C383" s="1" t="str">
        <f>IFERROR(INDEX(Players!$D$4:$D$503,MATCH(380,Players!$K$4:$K$503,0)),"")</f>
        <v/>
      </c>
      <c r="D383" s="7" t="str">
        <f>IFERROR(INDEX(Players!$E$4:$E$503,MATCH(380,Players!$K$4:$K$503,0)),"")</f>
        <v/>
      </c>
      <c r="E383" s="1" t="str">
        <f>IFERROR(INDEX(Players!$G$4:$G$503,MATCH(380,Players!$K$4:$K$503,0)),"")</f>
        <v/>
      </c>
      <c r="F383" s="7" t="str">
        <f>IFERROR(INDEX(Players!$H$4:$H$503,MATCH(380,Players!$K$4:$K$503,0)),"")</f>
        <v/>
      </c>
      <c r="G383" s="1" t="str">
        <f>IFERROR(INDEX(Players!$I$4:$I$503,MATCH(380,Players!$K$4:$K$503,0)),"")</f>
        <v/>
      </c>
    </row>
    <row r="384" spans="1:7">
      <c r="A384" s="1" t="str">
        <f>IFERROR(INDEX(Players!$B$4:$B$503,MATCH(381,Players!$K$4:$K$503,0)),"")</f>
        <v/>
      </c>
      <c r="B384" s="1" t="str">
        <f>IFERROR(INDEX(Players!$C$4:$C$503,MATCH(381,Players!$K$4:$K$503,0)),"")</f>
        <v/>
      </c>
      <c r="C384" s="1" t="str">
        <f>IFERROR(INDEX(Players!$D$4:$D$503,MATCH(381,Players!$K$4:$K$503,0)),"")</f>
        <v/>
      </c>
      <c r="D384" s="7" t="str">
        <f>IFERROR(INDEX(Players!$E$4:$E$503,MATCH(381,Players!$K$4:$K$503,0)),"")</f>
        <v/>
      </c>
      <c r="E384" s="1" t="str">
        <f>IFERROR(INDEX(Players!$G$4:$G$503,MATCH(381,Players!$K$4:$K$503,0)),"")</f>
        <v/>
      </c>
      <c r="F384" s="7" t="str">
        <f>IFERROR(INDEX(Players!$H$4:$H$503,MATCH(381,Players!$K$4:$K$503,0)),"")</f>
        <v/>
      </c>
      <c r="G384" s="1" t="str">
        <f>IFERROR(INDEX(Players!$I$4:$I$503,MATCH(381,Players!$K$4:$K$503,0)),"")</f>
        <v/>
      </c>
    </row>
    <row r="385" spans="1:7">
      <c r="A385" s="1" t="str">
        <f>IFERROR(INDEX(Players!$B$4:$B$503,MATCH(382,Players!$K$4:$K$503,0)),"")</f>
        <v/>
      </c>
      <c r="B385" s="1" t="str">
        <f>IFERROR(INDEX(Players!$C$4:$C$503,MATCH(382,Players!$K$4:$K$503,0)),"")</f>
        <v/>
      </c>
      <c r="C385" s="1" t="str">
        <f>IFERROR(INDEX(Players!$D$4:$D$503,MATCH(382,Players!$K$4:$K$503,0)),"")</f>
        <v/>
      </c>
      <c r="D385" s="7" t="str">
        <f>IFERROR(INDEX(Players!$E$4:$E$503,MATCH(382,Players!$K$4:$K$503,0)),"")</f>
        <v/>
      </c>
      <c r="E385" s="1" t="str">
        <f>IFERROR(INDEX(Players!$G$4:$G$503,MATCH(382,Players!$K$4:$K$503,0)),"")</f>
        <v/>
      </c>
      <c r="F385" s="7" t="str">
        <f>IFERROR(INDEX(Players!$H$4:$H$503,MATCH(382,Players!$K$4:$K$503,0)),"")</f>
        <v/>
      </c>
      <c r="G385" s="1" t="str">
        <f>IFERROR(INDEX(Players!$I$4:$I$503,MATCH(382,Players!$K$4:$K$503,0)),"")</f>
        <v/>
      </c>
    </row>
    <row r="386" spans="1:7">
      <c r="A386" s="1" t="str">
        <f>IFERROR(INDEX(Players!$B$4:$B$503,MATCH(383,Players!$K$4:$K$503,0)),"")</f>
        <v/>
      </c>
      <c r="B386" s="1" t="str">
        <f>IFERROR(INDEX(Players!$C$4:$C$503,MATCH(383,Players!$K$4:$K$503,0)),"")</f>
        <v/>
      </c>
      <c r="C386" s="1" t="str">
        <f>IFERROR(INDEX(Players!$D$4:$D$503,MATCH(383,Players!$K$4:$K$503,0)),"")</f>
        <v/>
      </c>
      <c r="D386" s="7" t="str">
        <f>IFERROR(INDEX(Players!$E$4:$E$503,MATCH(383,Players!$K$4:$K$503,0)),"")</f>
        <v/>
      </c>
      <c r="E386" s="1" t="str">
        <f>IFERROR(INDEX(Players!$G$4:$G$503,MATCH(383,Players!$K$4:$K$503,0)),"")</f>
        <v/>
      </c>
      <c r="F386" s="7" t="str">
        <f>IFERROR(INDEX(Players!$H$4:$H$503,MATCH(383,Players!$K$4:$K$503,0)),"")</f>
        <v/>
      </c>
      <c r="G386" s="1" t="str">
        <f>IFERROR(INDEX(Players!$I$4:$I$503,MATCH(383,Players!$K$4:$K$503,0)),"")</f>
        <v/>
      </c>
    </row>
    <row r="387" spans="1:7">
      <c r="A387" s="1" t="str">
        <f>IFERROR(INDEX(Players!$B$4:$B$503,MATCH(384,Players!$K$4:$K$503,0)),"")</f>
        <v/>
      </c>
      <c r="B387" s="1" t="str">
        <f>IFERROR(INDEX(Players!$C$4:$C$503,MATCH(384,Players!$K$4:$K$503,0)),"")</f>
        <v/>
      </c>
      <c r="C387" s="1" t="str">
        <f>IFERROR(INDEX(Players!$D$4:$D$503,MATCH(384,Players!$K$4:$K$503,0)),"")</f>
        <v/>
      </c>
      <c r="D387" s="7" t="str">
        <f>IFERROR(INDEX(Players!$E$4:$E$503,MATCH(384,Players!$K$4:$K$503,0)),"")</f>
        <v/>
      </c>
      <c r="E387" s="1" t="str">
        <f>IFERROR(INDEX(Players!$G$4:$G$503,MATCH(384,Players!$K$4:$K$503,0)),"")</f>
        <v/>
      </c>
      <c r="F387" s="7" t="str">
        <f>IFERROR(INDEX(Players!$H$4:$H$503,MATCH(384,Players!$K$4:$K$503,0)),"")</f>
        <v/>
      </c>
      <c r="G387" s="1" t="str">
        <f>IFERROR(INDEX(Players!$I$4:$I$503,MATCH(384,Players!$K$4:$K$503,0)),"")</f>
        <v/>
      </c>
    </row>
    <row r="388" spans="1:7">
      <c r="A388" s="1" t="str">
        <f>IFERROR(INDEX(Players!$B$4:$B$503,MATCH(385,Players!$K$4:$K$503,0)),"")</f>
        <v/>
      </c>
      <c r="B388" s="1" t="str">
        <f>IFERROR(INDEX(Players!$C$4:$C$503,MATCH(385,Players!$K$4:$K$503,0)),"")</f>
        <v/>
      </c>
      <c r="C388" s="1" t="str">
        <f>IFERROR(INDEX(Players!$D$4:$D$503,MATCH(385,Players!$K$4:$K$503,0)),"")</f>
        <v/>
      </c>
      <c r="D388" s="7" t="str">
        <f>IFERROR(INDEX(Players!$E$4:$E$503,MATCH(385,Players!$K$4:$K$503,0)),"")</f>
        <v/>
      </c>
      <c r="E388" s="1" t="str">
        <f>IFERROR(INDEX(Players!$G$4:$G$503,MATCH(385,Players!$K$4:$K$503,0)),"")</f>
        <v/>
      </c>
      <c r="F388" s="7" t="str">
        <f>IFERROR(INDEX(Players!$H$4:$H$503,MATCH(385,Players!$K$4:$K$503,0)),"")</f>
        <v/>
      </c>
      <c r="G388" s="1" t="str">
        <f>IFERROR(INDEX(Players!$I$4:$I$503,MATCH(385,Players!$K$4:$K$503,0)),"")</f>
        <v/>
      </c>
    </row>
    <row r="389" spans="1:7">
      <c r="A389" s="1" t="str">
        <f>IFERROR(INDEX(Players!$B$4:$B$503,MATCH(386,Players!$K$4:$K$503,0)),"")</f>
        <v/>
      </c>
      <c r="B389" s="1" t="str">
        <f>IFERROR(INDEX(Players!$C$4:$C$503,MATCH(386,Players!$K$4:$K$503,0)),"")</f>
        <v/>
      </c>
      <c r="C389" s="1" t="str">
        <f>IFERROR(INDEX(Players!$D$4:$D$503,MATCH(386,Players!$K$4:$K$503,0)),"")</f>
        <v/>
      </c>
      <c r="D389" s="7" t="str">
        <f>IFERROR(INDEX(Players!$E$4:$E$503,MATCH(386,Players!$K$4:$K$503,0)),"")</f>
        <v/>
      </c>
      <c r="E389" s="1" t="str">
        <f>IFERROR(INDEX(Players!$G$4:$G$503,MATCH(386,Players!$K$4:$K$503,0)),"")</f>
        <v/>
      </c>
      <c r="F389" s="7" t="str">
        <f>IFERROR(INDEX(Players!$H$4:$H$503,MATCH(386,Players!$K$4:$K$503,0)),"")</f>
        <v/>
      </c>
      <c r="G389" s="1" t="str">
        <f>IFERROR(INDEX(Players!$I$4:$I$503,MATCH(386,Players!$K$4:$K$503,0)),"")</f>
        <v/>
      </c>
    </row>
    <row r="390" spans="1:7">
      <c r="A390" s="1" t="str">
        <f>IFERROR(INDEX(Players!$B$4:$B$503,MATCH(387,Players!$K$4:$K$503,0)),"")</f>
        <v/>
      </c>
      <c r="B390" s="1" t="str">
        <f>IFERROR(INDEX(Players!$C$4:$C$503,MATCH(387,Players!$K$4:$K$503,0)),"")</f>
        <v/>
      </c>
      <c r="C390" s="1" t="str">
        <f>IFERROR(INDEX(Players!$D$4:$D$503,MATCH(387,Players!$K$4:$K$503,0)),"")</f>
        <v/>
      </c>
      <c r="D390" s="7" t="str">
        <f>IFERROR(INDEX(Players!$E$4:$E$503,MATCH(387,Players!$K$4:$K$503,0)),"")</f>
        <v/>
      </c>
      <c r="E390" s="1" t="str">
        <f>IFERROR(INDEX(Players!$G$4:$G$503,MATCH(387,Players!$K$4:$K$503,0)),"")</f>
        <v/>
      </c>
      <c r="F390" s="7" t="str">
        <f>IFERROR(INDEX(Players!$H$4:$H$503,MATCH(387,Players!$K$4:$K$503,0)),"")</f>
        <v/>
      </c>
      <c r="G390" s="1" t="str">
        <f>IFERROR(INDEX(Players!$I$4:$I$503,MATCH(387,Players!$K$4:$K$503,0)),"")</f>
        <v/>
      </c>
    </row>
    <row r="391" spans="1:7">
      <c r="A391" s="1" t="str">
        <f>IFERROR(INDEX(Players!$B$4:$B$503,MATCH(388,Players!$K$4:$K$503,0)),"")</f>
        <v/>
      </c>
      <c r="B391" s="1" t="str">
        <f>IFERROR(INDEX(Players!$C$4:$C$503,MATCH(388,Players!$K$4:$K$503,0)),"")</f>
        <v/>
      </c>
      <c r="C391" s="1" t="str">
        <f>IFERROR(INDEX(Players!$D$4:$D$503,MATCH(388,Players!$K$4:$K$503,0)),"")</f>
        <v/>
      </c>
      <c r="D391" s="7" t="str">
        <f>IFERROR(INDEX(Players!$E$4:$E$503,MATCH(388,Players!$K$4:$K$503,0)),"")</f>
        <v/>
      </c>
      <c r="E391" s="1" t="str">
        <f>IFERROR(INDEX(Players!$G$4:$G$503,MATCH(388,Players!$K$4:$K$503,0)),"")</f>
        <v/>
      </c>
      <c r="F391" s="7" t="str">
        <f>IFERROR(INDEX(Players!$H$4:$H$503,MATCH(388,Players!$K$4:$K$503,0)),"")</f>
        <v/>
      </c>
      <c r="G391" s="1" t="str">
        <f>IFERROR(INDEX(Players!$I$4:$I$503,MATCH(388,Players!$K$4:$K$503,0)),"")</f>
        <v/>
      </c>
    </row>
    <row r="392" spans="1:7">
      <c r="A392" s="1" t="str">
        <f>IFERROR(INDEX(Players!$B$4:$B$503,MATCH(389,Players!$K$4:$K$503,0)),"")</f>
        <v/>
      </c>
      <c r="B392" s="1" t="str">
        <f>IFERROR(INDEX(Players!$C$4:$C$503,MATCH(389,Players!$K$4:$K$503,0)),"")</f>
        <v/>
      </c>
      <c r="C392" s="1" t="str">
        <f>IFERROR(INDEX(Players!$D$4:$D$503,MATCH(389,Players!$K$4:$K$503,0)),"")</f>
        <v/>
      </c>
      <c r="D392" s="7" t="str">
        <f>IFERROR(INDEX(Players!$E$4:$E$503,MATCH(389,Players!$K$4:$K$503,0)),"")</f>
        <v/>
      </c>
      <c r="E392" s="1" t="str">
        <f>IFERROR(INDEX(Players!$G$4:$G$503,MATCH(389,Players!$K$4:$K$503,0)),"")</f>
        <v/>
      </c>
      <c r="F392" s="7" t="str">
        <f>IFERROR(INDEX(Players!$H$4:$H$503,MATCH(389,Players!$K$4:$K$503,0)),"")</f>
        <v/>
      </c>
      <c r="G392" s="1" t="str">
        <f>IFERROR(INDEX(Players!$I$4:$I$503,MATCH(389,Players!$K$4:$K$503,0)),"")</f>
        <v/>
      </c>
    </row>
    <row r="393" spans="1:7">
      <c r="A393" s="1" t="str">
        <f>IFERROR(INDEX(Players!$B$4:$B$503,MATCH(390,Players!$K$4:$K$503,0)),"")</f>
        <v/>
      </c>
      <c r="B393" s="1" t="str">
        <f>IFERROR(INDEX(Players!$C$4:$C$503,MATCH(390,Players!$K$4:$K$503,0)),"")</f>
        <v/>
      </c>
      <c r="C393" s="1" t="str">
        <f>IFERROR(INDEX(Players!$D$4:$D$503,MATCH(390,Players!$K$4:$K$503,0)),"")</f>
        <v/>
      </c>
      <c r="D393" s="7" t="str">
        <f>IFERROR(INDEX(Players!$E$4:$E$503,MATCH(390,Players!$K$4:$K$503,0)),"")</f>
        <v/>
      </c>
      <c r="E393" s="1" t="str">
        <f>IFERROR(INDEX(Players!$G$4:$G$503,MATCH(390,Players!$K$4:$K$503,0)),"")</f>
        <v/>
      </c>
      <c r="F393" s="7" t="str">
        <f>IFERROR(INDEX(Players!$H$4:$H$503,MATCH(390,Players!$K$4:$K$503,0)),"")</f>
        <v/>
      </c>
      <c r="G393" s="1" t="str">
        <f>IFERROR(INDEX(Players!$I$4:$I$503,MATCH(390,Players!$K$4:$K$503,0)),"")</f>
        <v/>
      </c>
    </row>
    <row r="394" spans="1:7">
      <c r="A394" s="1" t="str">
        <f>IFERROR(INDEX(Players!$B$4:$B$503,MATCH(391,Players!$K$4:$K$503,0)),"")</f>
        <v/>
      </c>
      <c r="B394" s="1" t="str">
        <f>IFERROR(INDEX(Players!$C$4:$C$503,MATCH(391,Players!$K$4:$K$503,0)),"")</f>
        <v/>
      </c>
      <c r="C394" s="1" t="str">
        <f>IFERROR(INDEX(Players!$D$4:$D$503,MATCH(391,Players!$K$4:$K$503,0)),"")</f>
        <v/>
      </c>
      <c r="D394" s="7" t="str">
        <f>IFERROR(INDEX(Players!$E$4:$E$503,MATCH(391,Players!$K$4:$K$503,0)),"")</f>
        <v/>
      </c>
      <c r="E394" s="1" t="str">
        <f>IFERROR(INDEX(Players!$G$4:$G$503,MATCH(391,Players!$K$4:$K$503,0)),"")</f>
        <v/>
      </c>
      <c r="F394" s="7" t="str">
        <f>IFERROR(INDEX(Players!$H$4:$H$503,MATCH(391,Players!$K$4:$K$503,0)),"")</f>
        <v/>
      </c>
      <c r="G394" s="1" t="str">
        <f>IFERROR(INDEX(Players!$I$4:$I$503,MATCH(391,Players!$K$4:$K$503,0)),"")</f>
        <v/>
      </c>
    </row>
    <row r="395" spans="1:7">
      <c r="A395" s="1" t="str">
        <f>IFERROR(INDEX(Players!$B$4:$B$503,MATCH(392,Players!$K$4:$K$503,0)),"")</f>
        <v/>
      </c>
      <c r="B395" s="1" t="str">
        <f>IFERROR(INDEX(Players!$C$4:$C$503,MATCH(392,Players!$K$4:$K$503,0)),"")</f>
        <v/>
      </c>
      <c r="C395" s="1" t="str">
        <f>IFERROR(INDEX(Players!$D$4:$D$503,MATCH(392,Players!$K$4:$K$503,0)),"")</f>
        <v/>
      </c>
      <c r="D395" s="7" t="str">
        <f>IFERROR(INDEX(Players!$E$4:$E$503,MATCH(392,Players!$K$4:$K$503,0)),"")</f>
        <v/>
      </c>
      <c r="E395" s="1" t="str">
        <f>IFERROR(INDEX(Players!$G$4:$G$503,MATCH(392,Players!$K$4:$K$503,0)),"")</f>
        <v/>
      </c>
      <c r="F395" s="7" t="str">
        <f>IFERROR(INDEX(Players!$H$4:$H$503,MATCH(392,Players!$K$4:$K$503,0)),"")</f>
        <v/>
      </c>
      <c r="G395" s="1" t="str">
        <f>IFERROR(INDEX(Players!$I$4:$I$503,MATCH(392,Players!$K$4:$K$503,0)),"")</f>
        <v/>
      </c>
    </row>
    <row r="396" spans="1:7">
      <c r="A396" s="1" t="str">
        <f>IFERROR(INDEX(Players!$B$4:$B$503,MATCH(393,Players!$K$4:$K$503,0)),"")</f>
        <v/>
      </c>
      <c r="B396" s="1" t="str">
        <f>IFERROR(INDEX(Players!$C$4:$C$503,MATCH(393,Players!$K$4:$K$503,0)),"")</f>
        <v/>
      </c>
      <c r="C396" s="1" t="str">
        <f>IFERROR(INDEX(Players!$D$4:$D$503,MATCH(393,Players!$K$4:$K$503,0)),"")</f>
        <v/>
      </c>
      <c r="D396" s="7" t="str">
        <f>IFERROR(INDEX(Players!$E$4:$E$503,MATCH(393,Players!$K$4:$K$503,0)),"")</f>
        <v/>
      </c>
      <c r="E396" s="1" t="str">
        <f>IFERROR(INDEX(Players!$G$4:$G$503,MATCH(393,Players!$K$4:$K$503,0)),"")</f>
        <v/>
      </c>
      <c r="F396" s="7" t="str">
        <f>IFERROR(INDEX(Players!$H$4:$H$503,MATCH(393,Players!$K$4:$K$503,0)),"")</f>
        <v/>
      </c>
      <c r="G396" s="1" t="str">
        <f>IFERROR(INDEX(Players!$I$4:$I$503,MATCH(393,Players!$K$4:$K$503,0)),"")</f>
        <v/>
      </c>
    </row>
    <row r="397" spans="1:7">
      <c r="A397" s="1" t="str">
        <f>IFERROR(INDEX(Players!$B$4:$B$503,MATCH(394,Players!$K$4:$K$503,0)),"")</f>
        <v/>
      </c>
      <c r="B397" s="1" t="str">
        <f>IFERROR(INDEX(Players!$C$4:$C$503,MATCH(394,Players!$K$4:$K$503,0)),"")</f>
        <v/>
      </c>
      <c r="C397" s="1" t="str">
        <f>IFERROR(INDEX(Players!$D$4:$D$503,MATCH(394,Players!$K$4:$K$503,0)),"")</f>
        <v/>
      </c>
      <c r="D397" s="7" t="str">
        <f>IFERROR(INDEX(Players!$E$4:$E$503,MATCH(394,Players!$K$4:$K$503,0)),"")</f>
        <v/>
      </c>
      <c r="E397" s="1" t="str">
        <f>IFERROR(INDEX(Players!$G$4:$G$503,MATCH(394,Players!$K$4:$K$503,0)),"")</f>
        <v/>
      </c>
      <c r="F397" s="7" t="str">
        <f>IFERROR(INDEX(Players!$H$4:$H$503,MATCH(394,Players!$K$4:$K$503,0)),"")</f>
        <v/>
      </c>
      <c r="G397" s="1" t="str">
        <f>IFERROR(INDEX(Players!$I$4:$I$503,MATCH(394,Players!$K$4:$K$503,0)),"")</f>
        <v/>
      </c>
    </row>
    <row r="398" spans="1:7">
      <c r="A398" s="1" t="str">
        <f>IFERROR(INDEX(Players!$B$4:$B$503,MATCH(395,Players!$K$4:$K$503,0)),"")</f>
        <v/>
      </c>
      <c r="B398" s="1" t="str">
        <f>IFERROR(INDEX(Players!$C$4:$C$503,MATCH(395,Players!$K$4:$K$503,0)),"")</f>
        <v/>
      </c>
      <c r="C398" s="1" t="str">
        <f>IFERROR(INDEX(Players!$D$4:$D$503,MATCH(395,Players!$K$4:$K$503,0)),"")</f>
        <v/>
      </c>
      <c r="D398" s="7" t="str">
        <f>IFERROR(INDEX(Players!$E$4:$E$503,MATCH(395,Players!$K$4:$K$503,0)),"")</f>
        <v/>
      </c>
      <c r="E398" s="1" t="str">
        <f>IFERROR(INDEX(Players!$G$4:$G$503,MATCH(395,Players!$K$4:$K$503,0)),"")</f>
        <v/>
      </c>
      <c r="F398" s="7" t="str">
        <f>IFERROR(INDEX(Players!$H$4:$H$503,MATCH(395,Players!$K$4:$K$503,0)),"")</f>
        <v/>
      </c>
      <c r="G398" s="1" t="str">
        <f>IFERROR(INDEX(Players!$I$4:$I$503,MATCH(395,Players!$K$4:$K$503,0)),"")</f>
        <v/>
      </c>
    </row>
    <row r="399" spans="1:7">
      <c r="A399" s="1" t="str">
        <f>IFERROR(INDEX(Players!$B$4:$B$503,MATCH(396,Players!$K$4:$K$503,0)),"")</f>
        <v/>
      </c>
      <c r="B399" s="1" t="str">
        <f>IFERROR(INDEX(Players!$C$4:$C$503,MATCH(396,Players!$K$4:$K$503,0)),"")</f>
        <v/>
      </c>
      <c r="C399" s="1" t="str">
        <f>IFERROR(INDEX(Players!$D$4:$D$503,MATCH(396,Players!$K$4:$K$503,0)),"")</f>
        <v/>
      </c>
      <c r="D399" s="7" t="str">
        <f>IFERROR(INDEX(Players!$E$4:$E$503,MATCH(396,Players!$K$4:$K$503,0)),"")</f>
        <v/>
      </c>
      <c r="E399" s="1" t="str">
        <f>IFERROR(INDEX(Players!$G$4:$G$503,MATCH(396,Players!$K$4:$K$503,0)),"")</f>
        <v/>
      </c>
      <c r="F399" s="7" t="str">
        <f>IFERROR(INDEX(Players!$H$4:$H$503,MATCH(396,Players!$K$4:$K$503,0)),"")</f>
        <v/>
      </c>
      <c r="G399" s="1" t="str">
        <f>IFERROR(INDEX(Players!$I$4:$I$503,MATCH(396,Players!$K$4:$K$503,0)),"")</f>
        <v/>
      </c>
    </row>
    <row r="400" spans="1:7">
      <c r="A400" s="1" t="str">
        <f>IFERROR(INDEX(Players!$B$4:$B$503,MATCH(397,Players!$K$4:$K$503,0)),"")</f>
        <v/>
      </c>
      <c r="B400" s="1" t="str">
        <f>IFERROR(INDEX(Players!$C$4:$C$503,MATCH(397,Players!$K$4:$K$503,0)),"")</f>
        <v/>
      </c>
      <c r="C400" s="1" t="str">
        <f>IFERROR(INDEX(Players!$D$4:$D$503,MATCH(397,Players!$K$4:$K$503,0)),"")</f>
        <v/>
      </c>
      <c r="D400" s="7" t="str">
        <f>IFERROR(INDEX(Players!$E$4:$E$503,MATCH(397,Players!$K$4:$K$503,0)),"")</f>
        <v/>
      </c>
      <c r="E400" s="1" t="str">
        <f>IFERROR(INDEX(Players!$G$4:$G$503,MATCH(397,Players!$K$4:$K$503,0)),"")</f>
        <v/>
      </c>
      <c r="F400" s="7" t="str">
        <f>IFERROR(INDEX(Players!$H$4:$H$503,MATCH(397,Players!$K$4:$K$503,0)),"")</f>
        <v/>
      </c>
      <c r="G400" s="1" t="str">
        <f>IFERROR(INDEX(Players!$I$4:$I$503,MATCH(397,Players!$K$4:$K$503,0)),"")</f>
        <v/>
      </c>
    </row>
    <row r="401" spans="1:7">
      <c r="A401" s="1" t="str">
        <f>IFERROR(INDEX(Players!$B$4:$B$503,MATCH(398,Players!$K$4:$K$503,0)),"")</f>
        <v/>
      </c>
      <c r="B401" s="1" t="str">
        <f>IFERROR(INDEX(Players!$C$4:$C$503,MATCH(398,Players!$K$4:$K$503,0)),"")</f>
        <v/>
      </c>
      <c r="C401" s="1" t="str">
        <f>IFERROR(INDEX(Players!$D$4:$D$503,MATCH(398,Players!$K$4:$K$503,0)),"")</f>
        <v/>
      </c>
      <c r="D401" s="7" t="str">
        <f>IFERROR(INDEX(Players!$E$4:$E$503,MATCH(398,Players!$K$4:$K$503,0)),"")</f>
        <v/>
      </c>
      <c r="E401" s="1" t="str">
        <f>IFERROR(INDEX(Players!$G$4:$G$503,MATCH(398,Players!$K$4:$K$503,0)),"")</f>
        <v/>
      </c>
      <c r="F401" s="7" t="str">
        <f>IFERROR(INDEX(Players!$H$4:$H$503,MATCH(398,Players!$K$4:$K$503,0)),"")</f>
        <v/>
      </c>
      <c r="G401" s="1" t="str">
        <f>IFERROR(INDEX(Players!$I$4:$I$503,MATCH(398,Players!$K$4:$K$503,0)),"")</f>
        <v/>
      </c>
    </row>
    <row r="402" spans="1:7">
      <c r="A402" s="1" t="str">
        <f>IFERROR(INDEX(Players!$B$4:$B$503,MATCH(399,Players!$K$4:$K$503,0)),"")</f>
        <v/>
      </c>
      <c r="B402" s="1" t="str">
        <f>IFERROR(INDEX(Players!$C$4:$C$503,MATCH(399,Players!$K$4:$K$503,0)),"")</f>
        <v/>
      </c>
      <c r="C402" s="1" t="str">
        <f>IFERROR(INDEX(Players!$D$4:$D$503,MATCH(399,Players!$K$4:$K$503,0)),"")</f>
        <v/>
      </c>
      <c r="D402" s="7" t="str">
        <f>IFERROR(INDEX(Players!$E$4:$E$503,MATCH(399,Players!$K$4:$K$503,0)),"")</f>
        <v/>
      </c>
      <c r="E402" s="1" t="str">
        <f>IFERROR(INDEX(Players!$G$4:$G$503,MATCH(399,Players!$K$4:$K$503,0)),"")</f>
        <v/>
      </c>
      <c r="F402" s="7" t="str">
        <f>IFERROR(INDEX(Players!$H$4:$H$503,MATCH(399,Players!$K$4:$K$503,0)),"")</f>
        <v/>
      </c>
      <c r="G402" s="1" t="str">
        <f>IFERROR(INDEX(Players!$I$4:$I$503,MATCH(399,Players!$K$4:$K$503,0)),"")</f>
        <v/>
      </c>
    </row>
    <row r="403" spans="1:7">
      <c r="A403" s="1" t="str">
        <f>IFERROR(INDEX(Players!$B$4:$B$503,MATCH(400,Players!$K$4:$K$503,0)),"")</f>
        <v/>
      </c>
      <c r="B403" s="1" t="str">
        <f>IFERROR(INDEX(Players!$C$4:$C$503,MATCH(400,Players!$K$4:$K$503,0)),"")</f>
        <v/>
      </c>
      <c r="C403" s="1" t="str">
        <f>IFERROR(INDEX(Players!$D$4:$D$503,MATCH(400,Players!$K$4:$K$503,0)),"")</f>
        <v/>
      </c>
      <c r="D403" s="7" t="str">
        <f>IFERROR(INDEX(Players!$E$4:$E$503,MATCH(400,Players!$K$4:$K$503,0)),"")</f>
        <v/>
      </c>
      <c r="E403" s="1" t="str">
        <f>IFERROR(INDEX(Players!$G$4:$G$503,MATCH(400,Players!$K$4:$K$503,0)),"")</f>
        <v/>
      </c>
      <c r="F403" s="7" t="str">
        <f>IFERROR(INDEX(Players!$H$4:$H$503,MATCH(400,Players!$K$4:$K$503,0)),"")</f>
        <v/>
      </c>
      <c r="G403" s="1" t="str">
        <f>IFERROR(INDEX(Players!$I$4:$I$503,MATCH(400,Players!$K$4:$K$503,0)),"")</f>
        <v/>
      </c>
    </row>
    <row r="404" spans="1:7">
      <c r="A404" s="1" t="str">
        <f>IFERROR(INDEX(Players!$B$4:$B$503,MATCH(401,Players!$K$4:$K$503,0)),"")</f>
        <v/>
      </c>
      <c r="B404" s="1" t="str">
        <f>IFERROR(INDEX(Players!$C$4:$C$503,MATCH(401,Players!$K$4:$K$503,0)),"")</f>
        <v/>
      </c>
      <c r="C404" s="1" t="str">
        <f>IFERROR(INDEX(Players!$D$4:$D$503,MATCH(401,Players!$K$4:$K$503,0)),"")</f>
        <v/>
      </c>
      <c r="D404" s="7" t="str">
        <f>IFERROR(INDEX(Players!$E$4:$E$503,MATCH(401,Players!$K$4:$K$503,0)),"")</f>
        <v/>
      </c>
      <c r="E404" s="1" t="str">
        <f>IFERROR(INDEX(Players!$G$4:$G$503,MATCH(401,Players!$K$4:$K$503,0)),"")</f>
        <v/>
      </c>
      <c r="F404" s="7" t="str">
        <f>IFERROR(INDEX(Players!$H$4:$H$503,MATCH(401,Players!$K$4:$K$503,0)),"")</f>
        <v/>
      </c>
      <c r="G404" s="1" t="str">
        <f>IFERROR(INDEX(Players!$I$4:$I$503,MATCH(401,Players!$K$4:$K$503,0)),"")</f>
        <v/>
      </c>
    </row>
    <row r="405" spans="1:7">
      <c r="A405" s="1" t="str">
        <f>IFERROR(INDEX(Players!$B$4:$B$503,MATCH(402,Players!$K$4:$K$503,0)),"")</f>
        <v/>
      </c>
      <c r="B405" s="1" t="str">
        <f>IFERROR(INDEX(Players!$C$4:$C$503,MATCH(402,Players!$K$4:$K$503,0)),"")</f>
        <v/>
      </c>
      <c r="C405" s="1" t="str">
        <f>IFERROR(INDEX(Players!$D$4:$D$503,MATCH(402,Players!$K$4:$K$503,0)),"")</f>
        <v/>
      </c>
      <c r="D405" s="7" t="str">
        <f>IFERROR(INDEX(Players!$E$4:$E$503,MATCH(402,Players!$K$4:$K$503,0)),"")</f>
        <v/>
      </c>
      <c r="E405" s="1" t="str">
        <f>IFERROR(INDEX(Players!$G$4:$G$503,MATCH(402,Players!$K$4:$K$503,0)),"")</f>
        <v/>
      </c>
      <c r="F405" s="7" t="str">
        <f>IFERROR(INDEX(Players!$H$4:$H$503,MATCH(402,Players!$K$4:$K$503,0)),"")</f>
        <v/>
      </c>
      <c r="G405" s="1" t="str">
        <f>IFERROR(INDEX(Players!$I$4:$I$503,MATCH(402,Players!$K$4:$K$503,0)),"")</f>
        <v/>
      </c>
    </row>
    <row r="406" spans="1:7">
      <c r="A406" s="1" t="str">
        <f>IFERROR(INDEX(Players!$B$4:$B$503,MATCH(403,Players!$K$4:$K$503,0)),"")</f>
        <v/>
      </c>
      <c r="B406" s="1" t="str">
        <f>IFERROR(INDEX(Players!$C$4:$C$503,MATCH(403,Players!$K$4:$K$503,0)),"")</f>
        <v/>
      </c>
      <c r="C406" s="1" t="str">
        <f>IFERROR(INDEX(Players!$D$4:$D$503,MATCH(403,Players!$K$4:$K$503,0)),"")</f>
        <v/>
      </c>
      <c r="D406" s="7" t="str">
        <f>IFERROR(INDEX(Players!$E$4:$E$503,MATCH(403,Players!$K$4:$K$503,0)),"")</f>
        <v/>
      </c>
      <c r="E406" s="1" t="str">
        <f>IFERROR(INDEX(Players!$G$4:$G$503,MATCH(403,Players!$K$4:$K$503,0)),"")</f>
        <v/>
      </c>
      <c r="F406" s="7" t="str">
        <f>IFERROR(INDEX(Players!$H$4:$H$503,MATCH(403,Players!$K$4:$K$503,0)),"")</f>
        <v/>
      </c>
      <c r="G406" s="1" t="str">
        <f>IFERROR(INDEX(Players!$I$4:$I$503,MATCH(403,Players!$K$4:$K$503,0)),"")</f>
        <v/>
      </c>
    </row>
    <row r="407" spans="1:7">
      <c r="A407" s="1" t="str">
        <f>IFERROR(INDEX(Players!$B$4:$B$503,MATCH(404,Players!$K$4:$K$503,0)),"")</f>
        <v/>
      </c>
      <c r="B407" s="1" t="str">
        <f>IFERROR(INDEX(Players!$C$4:$C$503,MATCH(404,Players!$K$4:$K$503,0)),"")</f>
        <v/>
      </c>
      <c r="C407" s="1" t="str">
        <f>IFERROR(INDEX(Players!$D$4:$D$503,MATCH(404,Players!$K$4:$K$503,0)),"")</f>
        <v/>
      </c>
      <c r="D407" s="7" t="str">
        <f>IFERROR(INDEX(Players!$E$4:$E$503,MATCH(404,Players!$K$4:$K$503,0)),"")</f>
        <v/>
      </c>
      <c r="E407" s="1" t="str">
        <f>IFERROR(INDEX(Players!$G$4:$G$503,MATCH(404,Players!$K$4:$K$503,0)),"")</f>
        <v/>
      </c>
      <c r="F407" s="7" t="str">
        <f>IFERROR(INDEX(Players!$H$4:$H$503,MATCH(404,Players!$K$4:$K$503,0)),"")</f>
        <v/>
      </c>
      <c r="G407" s="1" t="str">
        <f>IFERROR(INDEX(Players!$I$4:$I$503,MATCH(404,Players!$K$4:$K$503,0)),"")</f>
        <v/>
      </c>
    </row>
    <row r="408" spans="1:7">
      <c r="A408" s="1" t="str">
        <f>IFERROR(INDEX(Players!$B$4:$B$503,MATCH(405,Players!$K$4:$K$503,0)),"")</f>
        <v/>
      </c>
      <c r="B408" s="1" t="str">
        <f>IFERROR(INDEX(Players!$C$4:$C$503,MATCH(405,Players!$K$4:$K$503,0)),"")</f>
        <v/>
      </c>
      <c r="C408" s="1" t="str">
        <f>IFERROR(INDEX(Players!$D$4:$D$503,MATCH(405,Players!$K$4:$K$503,0)),"")</f>
        <v/>
      </c>
      <c r="D408" s="7" t="str">
        <f>IFERROR(INDEX(Players!$E$4:$E$503,MATCH(405,Players!$K$4:$K$503,0)),"")</f>
        <v/>
      </c>
      <c r="E408" s="1" t="str">
        <f>IFERROR(INDEX(Players!$G$4:$G$503,MATCH(405,Players!$K$4:$K$503,0)),"")</f>
        <v/>
      </c>
      <c r="F408" s="7" t="str">
        <f>IFERROR(INDEX(Players!$H$4:$H$503,MATCH(405,Players!$K$4:$K$503,0)),"")</f>
        <v/>
      </c>
      <c r="G408" s="1" t="str">
        <f>IFERROR(INDEX(Players!$I$4:$I$503,MATCH(405,Players!$K$4:$K$503,0)),"")</f>
        <v/>
      </c>
    </row>
    <row r="409" spans="1:7">
      <c r="A409" s="1" t="str">
        <f>IFERROR(INDEX(Players!$B$4:$B$503,MATCH(406,Players!$K$4:$K$503,0)),"")</f>
        <v/>
      </c>
      <c r="B409" s="1" t="str">
        <f>IFERROR(INDEX(Players!$C$4:$C$503,MATCH(406,Players!$K$4:$K$503,0)),"")</f>
        <v/>
      </c>
      <c r="C409" s="1" t="str">
        <f>IFERROR(INDEX(Players!$D$4:$D$503,MATCH(406,Players!$K$4:$K$503,0)),"")</f>
        <v/>
      </c>
      <c r="D409" s="7" t="str">
        <f>IFERROR(INDEX(Players!$E$4:$E$503,MATCH(406,Players!$K$4:$K$503,0)),"")</f>
        <v/>
      </c>
      <c r="E409" s="1" t="str">
        <f>IFERROR(INDEX(Players!$G$4:$G$503,MATCH(406,Players!$K$4:$K$503,0)),"")</f>
        <v/>
      </c>
      <c r="F409" s="7" t="str">
        <f>IFERROR(INDEX(Players!$H$4:$H$503,MATCH(406,Players!$K$4:$K$503,0)),"")</f>
        <v/>
      </c>
      <c r="G409" s="1" t="str">
        <f>IFERROR(INDEX(Players!$I$4:$I$503,MATCH(406,Players!$K$4:$K$503,0)),"")</f>
        <v/>
      </c>
    </row>
    <row r="410" spans="1:7">
      <c r="A410" s="1" t="str">
        <f>IFERROR(INDEX(Players!$B$4:$B$503,MATCH(407,Players!$K$4:$K$503,0)),"")</f>
        <v/>
      </c>
      <c r="B410" s="1" t="str">
        <f>IFERROR(INDEX(Players!$C$4:$C$503,MATCH(407,Players!$K$4:$K$503,0)),"")</f>
        <v/>
      </c>
      <c r="C410" s="1" t="str">
        <f>IFERROR(INDEX(Players!$D$4:$D$503,MATCH(407,Players!$K$4:$K$503,0)),"")</f>
        <v/>
      </c>
      <c r="D410" s="7" t="str">
        <f>IFERROR(INDEX(Players!$E$4:$E$503,MATCH(407,Players!$K$4:$K$503,0)),"")</f>
        <v/>
      </c>
      <c r="E410" s="1" t="str">
        <f>IFERROR(INDEX(Players!$G$4:$G$503,MATCH(407,Players!$K$4:$K$503,0)),"")</f>
        <v/>
      </c>
      <c r="F410" s="7" t="str">
        <f>IFERROR(INDEX(Players!$H$4:$H$503,MATCH(407,Players!$K$4:$K$503,0)),"")</f>
        <v/>
      </c>
      <c r="G410" s="1" t="str">
        <f>IFERROR(INDEX(Players!$I$4:$I$503,MATCH(407,Players!$K$4:$K$503,0)),"")</f>
        <v/>
      </c>
    </row>
    <row r="411" spans="1:7">
      <c r="A411" s="1" t="str">
        <f>IFERROR(INDEX(Players!$B$4:$B$503,MATCH(408,Players!$K$4:$K$503,0)),"")</f>
        <v/>
      </c>
      <c r="B411" s="1" t="str">
        <f>IFERROR(INDEX(Players!$C$4:$C$503,MATCH(408,Players!$K$4:$K$503,0)),"")</f>
        <v/>
      </c>
      <c r="C411" s="1" t="str">
        <f>IFERROR(INDEX(Players!$D$4:$D$503,MATCH(408,Players!$K$4:$K$503,0)),"")</f>
        <v/>
      </c>
      <c r="D411" s="7" t="str">
        <f>IFERROR(INDEX(Players!$E$4:$E$503,MATCH(408,Players!$K$4:$K$503,0)),"")</f>
        <v/>
      </c>
      <c r="E411" s="1" t="str">
        <f>IFERROR(INDEX(Players!$G$4:$G$503,MATCH(408,Players!$K$4:$K$503,0)),"")</f>
        <v/>
      </c>
      <c r="F411" s="7" t="str">
        <f>IFERROR(INDEX(Players!$H$4:$H$503,MATCH(408,Players!$K$4:$K$503,0)),"")</f>
        <v/>
      </c>
      <c r="G411" s="1" t="str">
        <f>IFERROR(INDEX(Players!$I$4:$I$503,MATCH(408,Players!$K$4:$K$503,0)),"")</f>
        <v/>
      </c>
    </row>
    <row r="412" spans="1:7">
      <c r="A412" s="1" t="str">
        <f>IFERROR(INDEX(Players!$B$4:$B$503,MATCH(409,Players!$K$4:$K$503,0)),"")</f>
        <v/>
      </c>
      <c r="B412" s="1" t="str">
        <f>IFERROR(INDEX(Players!$C$4:$C$503,MATCH(409,Players!$K$4:$K$503,0)),"")</f>
        <v/>
      </c>
      <c r="C412" s="1" t="str">
        <f>IFERROR(INDEX(Players!$D$4:$D$503,MATCH(409,Players!$K$4:$K$503,0)),"")</f>
        <v/>
      </c>
      <c r="D412" s="7" t="str">
        <f>IFERROR(INDEX(Players!$E$4:$E$503,MATCH(409,Players!$K$4:$K$503,0)),"")</f>
        <v/>
      </c>
      <c r="E412" s="1" t="str">
        <f>IFERROR(INDEX(Players!$G$4:$G$503,MATCH(409,Players!$K$4:$K$503,0)),"")</f>
        <v/>
      </c>
      <c r="F412" s="7" t="str">
        <f>IFERROR(INDEX(Players!$H$4:$H$503,MATCH(409,Players!$K$4:$K$503,0)),"")</f>
        <v/>
      </c>
      <c r="G412" s="1" t="str">
        <f>IFERROR(INDEX(Players!$I$4:$I$503,MATCH(409,Players!$K$4:$K$503,0)),"")</f>
        <v/>
      </c>
    </row>
    <row r="413" spans="1:7">
      <c r="A413" s="1" t="str">
        <f>IFERROR(INDEX(Players!$B$4:$B$503,MATCH(410,Players!$K$4:$K$503,0)),"")</f>
        <v/>
      </c>
      <c r="B413" s="1" t="str">
        <f>IFERROR(INDEX(Players!$C$4:$C$503,MATCH(410,Players!$K$4:$K$503,0)),"")</f>
        <v/>
      </c>
      <c r="C413" s="1" t="str">
        <f>IFERROR(INDEX(Players!$D$4:$D$503,MATCH(410,Players!$K$4:$K$503,0)),"")</f>
        <v/>
      </c>
      <c r="D413" s="7" t="str">
        <f>IFERROR(INDEX(Players!$E$4:$E$503,MATCH(410,Players!$K$4:$K$503,0)),"")</f>
        <v/>
      </c>
      <c r="E413" s="1" t="str">
        <f>IFERROR(INDEX(Players!$G$4:$G$503,MATCH(410,Players!$K$4:$K$503,0)),"")</f>
        <v/>
      </c>
      <c r="F413" s="7" t="str">
        <f>IFERROR(INDEX(Players!$H$4:$H$503,MATCH(410,Players!$K$4:$K$503,0)),"")</f>
        <v/>
      </c>
      <c r="G413" s="1" t="str">
        <f>IFERROR(INDEX(Players!$I$4:$I$503,MATCH(410,Players!$K$4:$K$503,0)),"")</f>
        <v/>
      </c>
    </row>
    <row r="414" spans="1:7">
      <c r="A414" s="1" t="str">
        <f>IFERROR(INDEX(Players!$B$4:$B$503,MATCH(411,Players!$K$4:$K$503,0)),"")</f>
        <v/>
      </c>
      <c r="B414" s="1" t="str">
        <f>IFERROR(INDEX(Players!$C$4:$C$503,MATCH(411,Players!$K$4:$K$503,0)),"")</f>
        <v/>
      </c>
      <c r="C414" s="1" t="str">
        <f>IFERROR(INDEX(Players!$D$4:$D$503,MATCH(411,Players!$K$4:$K$503,0)),"")</f>
        <v/>
      </c>
      <c r="D414" s="7" t="str">
        <f>IFERROR(INDEX(Players!$E$4:$E$503,MATCH(411,Players!$K$4:$K$503,0)),"")</f>
        <v/>
      </c>
      <c r="E414" s="1" t="str">
        <f>IFERROR(INDEX(Players!$G$4:$G$503,MATCH(411,Players!$K$4:$K$503,0)),"")</f>
        <v/>
      </c>
      <c r="F414" s="7" t="str">
        <f>IFERROR(INDEX(Players!$H$4:$H$503,MATCH(411,Players!$K$4:$K$503,0)),"")</f>
        <v/>
      </c>
      <c r="G414" s="1" t="str">
        <f>IFERROR(INDEX(Players!$I$4:$I$503,MATCH(411,Players!$K$4:$K$503,0)),"")</f>
        <v/>
      </c>
    </row>
    <row r="415" spans="1:7">
      <c r="A415" s="1" t="str">
        <f>IFERROR(INDEX(Players!$B$4:$B$503,MATCH(412,Players!$K$4:$K$503,0)),"")</f>
        <v/>
      </c>
      <c r="B415" s="1" t="str">
        <f>IFERROR(INDEX(Players!$C$4:$C$503,MATCH(412,Players!$K$4:$K$503,0)),"")</f>
        <v/>
      </c>
      <c r="C415" s="1" t="str">
        <f>IFERROR(INDEX(Players!$D$4:$D$503,MATCH(412,Players!$K$4:$K$503,0)),"")</f>
        <v/>
      </c>
      <c r="D415" s="7" t="str">
        <f>IFERROR(INDEX(Players!$E$4:$E$503,MATCH(412,Players!$K$4:$K$503,0)),"")</f>
        <v/>
      </c>
      <c r="E415" s="1" t="str">
        <f>IFERROR(INDEX(Players!$G$4:$G$503,MATCH(412,Players!$K$4:$K$503,0)),"")</f>
        <v/>
      </c>
      <c r="F415" s="7" t="str">
        <f>IFERROR(INDEX(Players!$H$4:$H$503,MATCH(412,Players!$K$4:$K$503,0)),"")</f>
        <v/>
      </c>
      <c r="G415" s="1" t="str">
        <f>IFERROR(INDEX(Players!$I$4:$I$503,MATCH(412,Players!$K$4:$K$503,0)),"")</f>
        <v/>
      </c>
    </row>
    <row r="416" spans="1:7">
      <c r="A416" s="1" t="str">
        <f>IFERROR(INDEX(Players!$B$4:$B$503,MATCH(413,Players!$K$4:$K$503,0)),"")</f>
        <v/>
      </c>
      <c r="B416" s="1" t="str">
        <f>IFERROR(INDEX(Players!$C$4:$C$503,MATCH(413,Players!$K$4:$K$503,0)),"")</f>
        <v/>
      </c>
      <c r="C416" s="1" t="str">
        <f>IFERROR(INDEX(Players!$D$4:$D$503,MATCH(413,Players!$K$4:$K$503,0)),"")</f>
        <v/>
      </c>
      <c r="D416" s="7" t="str">
        <f>IFERROR(INDEX(Players!$E$4:$E$503,MATCH(413,Players!$K$4:$K$503,0)),"")</f>
        <v/>
      </c>
      <c r="E416" s="1" t="str">
        <f>IFERROR(INDEX(Players!$G$4:$G$503,MATCH(413,Players!$K$4:$K$503,0)),"")</f>
        <v/>
      </c>
      <c r="F416" s="7" t="str">
        <f>IFERROR(INDEX(Players!$H$4:$H$503,MATCH(413,Players!$K$4:$K$503,0)),"")</f>
        <v/>
      </c>
      <c r="G416" s="1" t="str">
        <f>IFERROR(INDEX(Players!$I$4:$I$503,MATCH(413,Players!$K$4:$K$503,0)),"")</f>
        <v/>
      </c>
    </row>
    <row r="417" spans="1:7">
      <c r="A417" s="1" t="str">
        <f>IFERROR(INDEX(Players!$B$4:$B$503,MATCH(414,Players!$K$4:$K$503,0)),"")</f>
        <v/>
      </c>
      <c r="B417" s="1" t="str">
        <f>IFERROR(INDEX(Players!$C$4:$C$503,MATCH(414,Players!$K$4:$K$503,0)),"")</f>
        <v/>
      </c>
      <c r="C417" s="1" t="str">
        <f>IFERROR(INDEX(Players!$D$4:$D$503,MATCH(414,Players!$K$4:$K$503,0)),"")</f>
        <v/>
      </c>
      <c r="D417" s="7" t="str">
        <f>IFERROR(INDEX(Players!$E$4:$E$503,MATCH(414,Players!$K$4:$K$503,0)),"")</f>
        <v/>
      </c>
      <c r="E417" s="1" t="str">
        <f>IFERROR(INDEX(Players!$G$4:$G$503,MATCH(414,Players!$K$4:$K$503,0)),"")</f>
        <v/>
      </c>
      <c r="F417" s="7" t="str">
        <f>IFERROR(INDEX(Players!$H$4:$H$503,MATCH(414,Players!$K$4:$K$503,0)),"")</f>
        <v/>
      </c>
      <c r="G417" s="1" t="str">
        <f>IFERROR(INDEX(Players!$I$4:$I$503,MATCH(414,Players!$K$4:$K$503,0)),"")</f>
        <v/>
      </c>
    </row>
    <row r="418" spans="1:7">
      <c r="A418" s="1" t="str">
        <f>IFERROR(INDEX(Players!$B$4:$B$503,MATCH(415,Players!$K$4:$K$503,0)),"")</f>
        <v/>
      </c>
      <c r="B418" s="1" t="str">
        <f>IFERROR(INDEX(Players!$C$4:$C$503,MATCH(415,Players!$K$4:$K$503,0)),"")</f>
        <v/>
      </c>
      <c r="C418" s="1" t="str">
        <f>IFERROR(INDEX(Players!$D$4:$D$503,MATCH(415,Players!$K$4:$K$503,0)),"")</f>
        <v/>
      </c>
      <c r="D418" s="7" t="str">
        <f>IFERROR(INDEX(Players!$E$4:$E$503,MATCH(415,Players!$K$4:$K$503,0)),"")</f>
        <v/>
      </c>
      <c r="E418" s="1" t="str">
        <f>IFERROR(INDEX(Players!$G$4:$G$503,MATCH(415,Players!$K$4:$K$503,0)),"")</f>
        <v/>
      </c>
      <c r="F418" s="7" t="str">
        <f>IFERROR(INDEX(Players!$H$4:$H$503,MATCH(415,Players!$K$4:$K$503,0)),"")</f>
        <v/>
      </c>
      <c r="G418" s="1" t="str">
        <f>IFERROR(INDEX(Players!$I$4:$I$503,MATCH(415,Players!$K$4:$K$503,0)),"")</f>
        <v/>
      </c>
    </row>
    <row r="419" spans="1:7">
      <c r="A419" s="1" t="str">
        <f>IFERROR(INDEX(Players!$B$4:$B$503,MATCH(416,Players!$K$4:$K$503,0)),"")</f>
        <v/>
      </c>
      <c r="B419" s="1" t="str">
        <f>IFERROR(INDEX(Players!$C$4:$C$503,MATCH(416,Players!$K$4:$K$503,0)),"")</f>
        <v/>
      </c>
      <c r="C419" s="1" t="str">
        <f>IFERROR(INDEX(Players!$D$4:$D$503,MATCH(416,Players!$K$4:$K$503,0)),"")</f>
        <v/>
      </c>
      <c r="D419" s="7" t="str">
        <f>IFERROR(INDEX(Players!$E$4:$E$503,MATCH(416,Players!$K$4:$K$503,0)),"")</f>
        <v/>
      </c>
      <c r="E419" s="1" t="str">
        <f>IFERROR(INDEX(Players!$G$4:$G$503,MATCH(416,Players!$K$4:$K$503,0)),"")</f>
        <v/>
      </c>
      <c r="F419" s="7" t="str">
        <f>IFERROR(INDEX(Players!$H$4:$H$503,MATCH(416,Players!$K$4:$K$503,0)),"")</f>
        <v/>
      </c>
      <c r="G419" s="1" t="str">
        <f>IFERROR(INDEX(Players!$I$4:$I$503,MATCH(416,Players!$K$4:$K$503,0)),"")</f>
        <v/>
      </c>
    </row>
    <row r="420" spans="1:7">
      <c r="A420" s="1" t="str">
        <f>IFERROR(INDEX(Players!$B$4:$B$503,MATCH(417,Players!$K$4:$K$503,0)),"")</f>
        <v/>
      </c>
      <c r="B420" s="1" t="str">
        <f>IFERROR(INDEX(Players!$C$4:$C$503,MATCH(417,Players!$K$4:$K$503,0)),"")</f>
        <v/>
      </c>
      <c r="C420" s="1" t="str">
        <f>IFERROR(INDEX(Players!$D$4:$D$503,MATCH(417,Players!$K$4:$K$503,0)),"")</f>
        <v/>
      </c>
      <c r="D420" s="7" t="str">
        <f>IFERROR(INDEX(Players!$E$4:$E$503,MATCH(417,Players!$K$4:$K$503,0)),"")</f>
        <v/>
      </c>
      <c r="E420" s="1" t="str">
        <f>IFERROR(INDEX(Players!$G$4:$G$503,MATCH(417,Players!$K$4:$K$503,0)),"")</f>
        <v/>
      </c>
      <c r="F420" s="7" t="str">
        <f>IFERROR(INDEX(Players!$H$4:$H$503,MATCH(417,Players!$K$4:$K$503,0)),"")</f>
        <v/>
      </c>
      <c r="G420" s="1" t="str">
        <f>IFERROR(INDEX(Players!$I$4:$I$503,MATCH(417,Players!$K$4:$K$503,0)),"")</f>
        <v/>
      </c>
    </row>
    <row r="421" spans="1:7">
      <c r="A421" s="1" t="str">
        <f>IFERROR(INDEX(Players!$B$4:$B$503,MATCH(418,Players!$K$4:$K$503,0)),"")</f>
        <v/>
      </c>
      <c r="B421" s="1" t="str">
        <f>IFERROR(INDEX(Players!$C$4:$C$503,MATCH(418,Players!$K$4:$K$503,0)),"")</f>
        <v/>
      </c>
      <c r="C421" s="1" t="str">
        <f>IFERROR(INDEX(Players!$D$4:$D$503,MATCH(418,Players!$K$4:$K$503,0)),"")</f>
        <v/>
      </c>
      <c r="D421" s="7" t="str">
        <f>IFERROR(INDEX(Players!$E$4:$E$503,MATCH(418,Players!$K$4:$K$503,0)),"")</f>
        <v/>
      </c>
      <c r="E421" s="1" t="str">
        <f>IFERROR(INDEX(Players!$G$4:$G$503,MATCH(418,Players!$K$4:$K$503,0)),"")</f>
        <v/>
      </c>
      <c r="F421" s="7" t="str">
        <f>IFERROR(INDEX(Players!$H$4:$H$503,MATCH(418,Players!$K$4:$K$503,0)),"")</f>
        <v/>
      </c>
      <c r="G421" s="1" t="str">
        <f>IFERROR(INDEX(Players!$I$4:$I$503,MATCH(418,Players!$K$4:$K$503,0)),"")</f>
        <v/>
      </c>
    </row>
    <row r="422" spans="1:7">
      <c r="A422" s="1" t="str">
        <f>IFERROR(INDEX(Players!$B$4:$B$503,MATCH(419,Players!$K$4:$K$503,0)),"")</f>
        <v/>
      </c>
      <c r="B422" s="1" t="str">
        <f>IFERROR(INDEX(Players!$C$4:$C$503,MATCH(419,Players!$K$4:$K$503,0)),"")</f>
        <v/>
      </c>
      <c r="C422" s="1" t="str">
        <f>IFERROR(INDEX(Players!$D$4:$D$503,MATCH(419,Players!$K$4:$K$503,0)),"")</f>
        <v/>
      </c>
      <c r="D422" s="7" t="str">
        <f>IFERROR(INDEX(Players!$E$4:$E$503,MATCH(419,Players!$K$4:$K$503,0)),"")</f>
        <v/>
      </c>
      <c r="E422" s="1" t="str">
        <f>IFERROR(INDEX(Players!$G$4:$G$503,MATCH(419,Players!$K$4:$K$503,0)),"")</f>
        <v/>
      </c>
      <c r="F422" s="7" t="str">
        <f>IFERROR(INDEX(Players!$H$4:$H$503,MATCH(419,Players!$K$4:$K$503,0)),"")</f>
        <v/>
      </c>
      <c r="G422" s="1" t="str">
        <f>IFERROR(INDEX(Players!$I$4:$I$503,MATCH(419,Players!$K$4:$K$503,0)),"")</f>
        <v/>
      </c>
    </row>
    <row r="423" spans="1:7">
      <c r="A423" s="1" t="str">
        <f>IFERROR(INDEX(Players!$B$4:$B$503,MATCH(420,Players!$K$4:$K$503,0)),"")</f>
        <v/>
      </c>
      <c r="B423" s="1" t="str">
        <f>IFERROR(INDEX(Players!$C$4:$C$503,MATCH(420,Players!$K$4:$K$503,0)),"")</f>
        <v/>
      </c>
      <c r="C423" s="1" t="str">
        <f>IFERROR(INDEX(Players!$D$4:$D$503,MATCH(420,Players!$K$4:$K$503,0)),"")</f>
        <v/>
      </c>
      <c r="D423" s="7" t="str">
        <f>IFERROR(INDEX(Players!$E$4:$E$503,MATCH(420,Players!$K$4:$K$503,0)),"")</f>
        <v/>
      </c>
      <c r="E423" s="1" t="str">
        <f>IFERROR(INDEX(Players!$G$4:$G$503,MATCH(420,Players!$K$4:$K$503,0)),"")</f>
        <v/>
      </c>
      <c r="F423" s="7" t="str">
        <f>IFERROR(INDEX(Players!$H$4:$H$503,MATCH(420,Players!$K$4:$K$503,0)),"")</f>
        <v/>
      </c>
      <c r="G423" s="1" t="str">
        <f>IFERROR(INDEX(Players!$I$4:$I$503,MATCH(420,Players!$K$4:$K$503,0)),"")</f>
        <v/>
      </c>
    </row>
    <row r="424" spans="1:7">
      <c r="A424" s="1" t="str">
        <f>IFERROR(INDEX(Players!$B$4:$B$503,MATCH(421,Players!$K$4:$K$503,0)),"")</f>
        <v/>
      </c>
      <c r="B424" s="1" t="str">
        <f>IFERROR(INDEX(Players!$C$4:$C$503,MATCH(421,Players!$K$4:$K$503,0)),"")</f>
        <v/>
      </c>
      <c r="C424" s="1" t="str">
        <f>IFERROR(INDEX(Players!$D$4:$D$503,MATCH(421,Players!$K$4:$K$503,0)),"")</f>
        <v/>
      </c>
      <c r="D424" s="7" t="str">
        <f>IFERROR(INDEX(Players!$E$4:$E$503,MATCH(421,Players!$K$4:$K$503,0)),"")</f>
        <v/>
      </c>
      <c r="E424" s="1" t="str">
        <f>IFERROR(INDEX(Players!$G$4:$G$503,MATCH(421,Players!$K$4:$K$503,0)),"")</f>
        <v/>
      </c>
      <c r="F424" s="7" t="str">
        <f>IFERROR(INDEX(Players!$H$4:$H$503,MATCH(421,Players!$K$4:$K$503,0)),"")</f>
        <v/>
      </c>
      <c r="G424" s="1" t="str">
        <f>IFERROR(INDEX(Players!$I$4:$I$503,MATCH(421,Players!$K$4:$K$503,0)),"")</f>
        <v/>
      </c>
    </row>
    <row r="425" spans="1:7">
      <c r="A425" s="1" t="str">
        <f>IFERROR(INDEX(Players!$B$4:$B$503,MATCH(422,Players!$K$4:$K$503,0)),"")</f>
        <v/>
      </c>
      <c r="B425" s="1" t="str">
        <f>IFERROR(INDEX(Players!$C$4:$C$503,MATCH(422,Players!$K$4:$K$503,0)),"")</f>
        <v/>
      </c>
      <c r="C425" s="1" t="str">
        <f>IFERROR(INDEX(Players!$D$4:$D$503,MATCH(422,Players!$K$4:$K$503,0)),"")</f>
        <v/>
      </c>
      <c r="D425" s="7" t="str">
        <f>IFERROR(INDEX(Players!$E$4:$E$503,MATCH(422,Players!$K$4:$K$503,0)),"")</f>
        <v/>
      </c>
      <c r="E425" s="1" t="str">
        <f>IFERROR(INDEX(Players!$G$4:$G$503,MATCH(422,Players!$K$4:$K$503,0)),"")</f>
        <v/>
      </c>
      <c r="F425" s="7" t="str">
        <f>IFERROR(INDEX(Players!$H$4:$H$503,MATCH(422,Players!$K$4:$K$503,0)),"")</f>
        <v/>
      </c>
      <c r="G425" s="1" t="str">
        <f>IFERROR(INDEX(Players!$I$4:$I$503,MATCH(422,Players!$K$4:$K$503,0)),"")</f>
        <v/>
      </c>
    </row>
    <row r="426" spans="1:7">
      <c r="A426" s="1" t="str">
        <f>IFERROR(INDEX(Players!$B$4:$B$503,MATCH(423,Players!$K$4:$K$503,0)),"")</f>
        <v/>
      </c>
      <c r="B426" s="1" t="str">
        <f>IFERROR(INDEX(Players!$C$4:$C$503,MATCH(423,Players!$K$4:$K$503,0)),"")</f>
        <v/>
      </c>
      <c r="C426" s="1" t="str">
        <f>IFERROR(INDEX(Players!$D$4:$D$503,MATCH(423,Players!$K$4:$K$503,0)),"")</f>
        <v/>
      </c>
      <c r="D426" s="7" t="str">
        <f>IFERROR(INDEX(Players!$E$4:$E$503,MATCH(423,Players!$K$4:$K$503,0)),"")</f>
        <v/>
      </c>
      <c r="E426" s="1" t="str">
        <f>IFERROR(INDEX(Players!$G$4:$G$503,MATCH(423,Players!$K$4:$K$503,0)),"")</f>
        <v/>
      </c>
      <c r="F426" s="7" t="str">
        <f>IFERROR(INDEX(Players!$H$4:$H$503,MATCH(423,Players!$K$4:$K$503,0)),"")</f>
        <v/>
      </c>
      <c r="G426" s="1" t="str">
        <f>IFERROR(INDEX(Players!$I$4:$I$503,MATCH(423,Players!$K$4:$K$503,0)),"")</f>
        <v/>
      </c>
    </row>
    <row r="427" spans="1:7">
      <c r="A427" s="1" t="str">
        <f>IFERROR(INDEX(Players!$B$4:$B$503,MATCH(424,Players!$K$4:$K$503,0)),"")</f>
        <v/>
      </c>
      <c r="B427" s="1" t="str">
        <f>IFERROR(INDEX(Players!$C$4:$C$503,MATCH(424,Players!$K$4:$K$503,0)),"")</f>
        <v/>
      </c>
      <c r="C427" s="1" t="str">
        <f>IFERROR(INDEX(Players!$D$4:$D$503,MATCH(424,Players!$K$4:$K$503,0)),"")</f>
        <v/>
      </c>
      <c r="D427" s="7" t="str">
        <f>IFERROR(INDEX(Players!$E$4:$E$503,MATCH(424,Players!$K$4:$K$503,0)),"")</f>
        <v/>
      </c>
      <c r="E427" s="1" t="str">
        <f>IFERROR(INDEX(Players!$G$4:$G$503,MATCH(424,Players!$K$4:$K$503,0)),"")</f>
        <v/>
      </c>
      <c r="F427" s="7" t="str">
        <f>IFERROR(INDEX(Players!$H$4:$H$503,MATCH(424,Players!$K$4:$K$503,0)),"")</f>
        <v/>
      </c>
      <c r="G427" s="1" t="str">
        <f>IFERROR(INDEX(Players!$I$4:$I$503,MATCH(424,Players!$K$4:$K$503,0)),"")</f>
        <v/>
      </c>
    </row>
    <row r="428" spans="1:7">
      <c r="A428" s="1" t="str">
        <f>IFERROR(INDEX(Players!$B$4:$B$503,MATCH(425,Players!$K$4:$K$503,0)),"")</f>
        <v/>
      </c>
      <c r="B428" s="1" t="str">
        <f>IFERROR(INDEX(Players!$C$4:$C$503,MATCH(425,Players!$K$4:$K$503,0)),"")</f>
        <v/>
      </c>
      <c r="C428" s="1" t="str">
        <f>IFERROR(INDEX(Players!$D$4:$D$503,MATCH(425,Players!$K$4:$K$503,0)),"")</f>
        <v/>
      </c>
      <c r="D428" s="7" t="str">
        <f>IFERROR(INDEX(Players!$E$4:$E$503,MATCH(425,Players!$K$4:$K$503,0)),"")</f>
        <v/>
      </c>
      <c r="E428" s="1" t="str">
        <f>IFERROR(INDEX(Players!$G$4:$G$503,MATCH(425,Players!$K$4:$K$503,0)),"")</f>
        <v/>
      </c>
      <c r="F428" s="7" t="str">
        <f>IFERROR(INDEX(Players!$H$4:$H$503,MATCH(425,Players!$K$4:$K$503,0)),"")</f>
        <v/>
      </c>
      <c r="G428" s="1" t="str">
        <f>IFERROR(INDEX(Players!$I$4:$I$503,MATCH(425,Players!$K$4:$K$503,0)),"")</f>
        <v/>
      </c>
    </row>
    <row r="429" spans="1:7">
      <c r="A429" s="1" t="str">
        <f>IFERROR(INDEX(Players!$B$4:$B$503,MATCH(426,Players!$K$4:$K$503,0)),"")</f>
        <v/>
      </c>
      <c r="B429" s="1" t="str">
        <f>IFERROR(INDEX(Players!$C$4:$C$503,MATCH(426,Players!$K$4:$K$503,0)),"")</f>
        <v/>
      </c>
      <c r="C429" s="1" t="str">
        <f>IFERROR(INDEX(Players!$D$4:$D$503,MATCH(426,Players!$K$4:$K$503,0)),"")</f>
        <v/>
      </c>
      <c r="D429" s="7" t="str">
        <f>IFERROR(INDEX(Players!$E$4:$E$503,MATCH(426,Players!$K$4:$K$503,0)),"")</f>
        <v/>
      </c>
      <c r="E429" s="1" t="str">
        <f>IFERROR(INDEX(Players!$G$4:$G$503,MATCH(426,Players!$K$4:$K$503,0)),"")</f>
        <v/>
      </c>
      <c r="F429" s="7" t="str">
        <f>IFERROR(INDEX(Players!$H$4:$H$503,MATCH(426,Players!$K$4:$K$503,0)),"")</f>
        <v/>
      </c>
      <c r="G429" s="1" t="str">
        <f>IFERROR(INDEX(Players!$I$4:$I$503,MATCH(426,Players!$K$4:$K$503,0)),"")</f>
        <v/>
      </c>
    </row>
    <row r="430" spans="1:7">
      <c r="A430" s="1" t="str">
        <f>IFERROR(INDEX(Players!$B$4:$B$503,MATCH(427,Players!$K$4:$K$503,0)),"")</f>
        <v/>
      </c>
      <c r="B430" s="1" t="str">
        <f>IFERROR(INDEX(Players!$C$4:$C$503,MATCH(427,Players!$K$4:$K$503,0)),"")</f>
        <v/>
      </c>
      <c r="C430" s="1" t="str">
        <f>IFERROR(INDEX(Players!$D$4:$D$503,MATCH(427,Players!$K$4:$K$503,0)),"")</f>
        <v/>
      </c>
      <c r="D430" s="7" t="str">
        <f>IFERROR(INDEX(Players!$E$4:$E$503,MATCH(427,Players!$K$4:$K$503,0)),"")</f>
        <v/>
      </c>
      <c r="E430" s="1" t="str">
        <f>IFERROR(INDEX(Players!$G$4:$G$503,MATCH(427,Players!$K$4:$K$503,0)),"")</f>
        <v/>
      </c>
      <c r="F430" s="7" t="str">
        <f>IFERROR(INDEX(Players!$H$4:$H$503,MATCH(427,Players!$K$4:$K$503,0)),"")</f>
        <v/>
      </c>
      <c r="G430" s="1" t="str">
        <f>IFERROR(INDEX(Players!$I$4:$I$503,MATCH(427,Players!$K$4:$K$503,0)),"")</f>
        <v/>
      </c>
    </row>
    <row r="431" spans="1:7">
      <c r="A431" s="1" t="str">
        <f>IFERROR(INDEX(Players!$B$4:$B$503,MATCH(428,Players!$K$4:$K$503,0)),"")</f>
        <v/>
      </c>
      <c r="B431" s="1" t="str">
        <f>IFERROR(INDEX(Players!$C$4:$C$503,MATCH(428,Players!$K$4:$K$503,0)),"")</f>
        <v/>
      </c>
      <c r="C431" s="1" t="str">
        <f>IFERROR(INDEX(Players!$D$4:$D$503,MATCH(428,Players!$K$4:$K$503,0)),"")</f>
        <v/>
      </c>
      <c r="D431" s="7" t="str">
        <f>IFERROR(INDEX(Players!$E$4:$E$503,MATCH(428,Players!$K$4:$K$503,0)),"")</f>
        <v/>
      </c>
      <c r="E431" s="1" t="str">
        <f>IFERROR(INDEX(Players!$G$4:$G$503,MATCH(428,Players!$K$4:$K$503,0)),"")</f>
        <v/>
      </c>
      <c r="F431" s="7" t="str">
        <f>IFERROR(INDEX(Players!$H$4:$H$503,MATCH(428,Players!$K$4:$K$503,0)),"")</f>
        <v/>
      </c>
      <c r="G431" s="1" t="str">
        <f>IFERROR(INDEX(Players!$I$4:$I$503,MATCH(428,Players!$K$4:$K$503,0)),"")</f>
        <v/>
      </c>
    </row>
    <row r="432" spans="1:7">
      <c r="A432" s="1" t="str">
        <f>IFERROR(INDEX(Players!$B$4:$B$503,MATCH(429,Players!$K$4:$K$503,0)),"")</f>
        <v/>
      </c>
      <c r="B432" s="1" t="str">
        <f>IFERROR(INDEX(Players!$C$4:$C$503,MATCH(429,Players!$K$4:$K$503,0)),"")</f>
        <v/>
      </c>
      <c r="C432" s="1" t="str">
        <f>IFERROR(INDEX(Players!$D$4:$D$503,MATCH(429,Players!$K$4:$K$503,0)),"")</f>
        <v/>
      </c>
      <c r="D432" s="7" t="str">
        <f>IFERROR(INDEX(Players!$E$4:$E$503,MATCH(429,Players!$K$4:$K$503,0)),"")</f>
        <v/>
      </c>
      <c r="E432" s="1" t="str">
        <f>IFERROR(INDEX(Players!$G$4:$G$503,MATCH(429,Players!$K$4:$K$503,0)),"")</f>
        <v/>
      </c>
      <c r="F432" s="7" t="str">
        <f>IFERROR(INDEX(Players!$H$4:$H$503,MATCH(429,Players!$K$4:$K$503,0)),"")</f>
        <v/>
      </c>
      <c r="G432" s="1" t="str">
        <f>IFERROR(INDEX(Players!$I$4:$I$503,MATCH(429,Players!$K$4:$K$503,0)),"")</f>
        <v/>
      </c>
    </row>
    <row r="433" spans="1:7">
      <c r="A433" s="1" t="str">
        <f>IFERROR(INDEX(Players!$B$4:$B$503,MATCH(430,Players!$K$4:$K$503,0)),"")</f>
        <v/>
      </c>
      <c r="B433" s="1" t="str">
        <f>IFERROR(INDEX(Players!$C$4:$C$503,MATCH(430,Players!$K$4:$K$503,0)),"")</f>
        <v/>
      </c>
      <c r="C433" s="1" t="str">
        <f>IFERROR(INDEX(Players!$D$4:$D$503,MATCH(430,Players!$K$4:$K$503,0)),"")</f>
        <v/>
      </c>
      <c r="D433" s="7" t="str">
        <f>IFERROR(INDEX(Players!$E$4:$E$503,MATCH(430,Players!$K$4:$K$503,0)),"")</f>
        <v/>
      </c>
      <c r="E433" s="1" t="str">
        <f>IFERROR(INDEX(Players!$G$4:$G$503,MATCH(430,Players!$K$4:$K$503,0)),"")</f>
        <v/>
      </c>
      <c r="F433" s="7" t="str">
        <f>IFERROR(INDEX(Players!$H$4:$H$503,MATCH(430,Players!$K$4:$K$503,0)),"")</f>
        <v/>
      </c>
      <c r="G433" s="1" t="str">
        <f>IFERROR(INDEX(Players!$I$4:$I$503,MATCH(430,Players!$K$4:$K$503,0)),"")</f>
        <v/>
      </c>
    </row>
    <row r="434" spans="1:7">
      <c r="A434" s="1" t="str">
        <f>IFERROR(INDEX(Players!$B$4:$B$503,MATCH(431,Players!$K$4:$K$503,0)),"")</f>
        <v/>
      </c>
      <c r="B434" s="1" t="str">
        <f>IFERROR(INDEX(Players!$C$4:$C$503,MATCH(431,Players!$K$4:$K$503,0)),"")</f>
        <v/>
      </c>
      <c r="C434" s="1" t="str">
        <f>IFERROR(INDEX(Players!$D$4:$D$503,MATCH(431,Players!$K$4:$K$503,0)),"")</f>
        <v/>
      </c>
      <c r="D434" s="7" t="str">
        <f>IFERROR(INDEX(Players!$E$4:$E$503,MATCH(431,Players!$K$4:$K$503,0)),"")</f>
        <v/>
      </c>
      <c r="E434" s="1" t="str">
        <f>IFERROR(INDEX(Players!$G$4:$G$503,MATCH(431,Players!$K$4:$K$503,0)),"")</f>
        <v/>
      </c>
      <c r="F434" s="7" t="str">
        <f>IFERROR(INDEX(Players!$H$4:$H$503,MATCH(431,Players!$K$4:$K$503,0)),"")</f>
        <v/>
      </c>
      <c r="G434" s="1" t="str">
        <f>IFERROR(INDEX(Players!$I$4:$I$503,MATCH(431,Players!$K$4:$K$503,0)),"")</f>
        <v/>
      </c>
    </row>
    <row r="435" spans="1:7">
      <c r="A435" s="1" t="str">
        <f>IFERROR(INDEX(Players!$B$4:$B$503,MATCH(432,Players!$K$4:$K$503,0)),"")</f>
        <v/>
      </c>
      <c r="B435" s="1" t="str">
        <f>IFERROR(INDEX(Players!$C$4:$C$503,MATCH(432,Players!$K$4:$K$503,0)),"")</f>
        <v/>
      </c>
      <c r="C435" s="1" t="str">
        <f>IFERROR(INDEX(Players!$D$4:$D$503,MATCH(432,Players!$K$4:$K$503,0)),"")</f>
        <v/>
      </c>
      <c r="D435" s="7" t="str">
        <f>IFERROR(INDEX(Players!$E$4:$E$503,MATCH(432,Players!$K$4:$K$503,0)),"")</f>
        <v/>
      </c>
      <c r="E435" s="1" t="str">
        <f>IFERROR(INDEX(Players!$G$4:$G$503,MATCH(432,Players!$K$4:$K$503,0)),"")</f>
        <v/>
      </c>
      <c r="F435" s="7" t="str">
        <f>IFERROR(INDEX(Players!$H$4:$H$503,MATCH(432,Players!$K$4:$K$503,0)),"")</f>
        <v/>
      </c>
      <c r="G435" s="1" t="str">
        <f>IFERROR(INDEX(Players!$I$4:$I$503,MATCH(432,Players!$K$4:$K$503,0)),"")</f>
        <v/>
      </c>
    </row>
    <row r="436" spans="1:7">
      <c r="A436" s="1" t="str">
        <f>IFERROR(INDEX(Players!$B$4:$B$503,MATCH(433,Players!$K$4:$K$503,0)),"")</f>
        <v/>
      </c>
      <c r="B436" s="1" t="str">
        <f>IFERROR(INDEX(Players!$C$4:$C$503,MATCH(433,Players!$K$4:$K$503,0)),"")</f>
        <v/>
      </c>
      <c r="C436" s="1" t="str">
        <f>IFERROR(INDEX(Players!$D$4:$D$503,MATCH(433,Players!$K$4:$K$503,0)),"")</f>
        <v/>
      </c>
      <c r="D436" s="7" t="str">
        <f>IFERROR(INDEX(Players!$E$4:$E$503,MATCH(433,Players!$K$4:$K$503,0)),"")</f>
        <v/>
      </c>
      <c r="E436" s="1" t="str">
        <f>IFERROR(INDEX(Players!$G$4:$G$503,MATCH(433,Players!$K$4:$K$503,0)),"")</f>
        <v/>
      </c>
      <c r="F436" s="7" t="str">
        <f>IFERROR(INDEX(Players!$H$4:$H$503,MATCH(433,Players!$K$4:$K$503,0)),"")</f>
        <v/>
      </c>
      <c r="G436" s="1" t="str">
        <f>IFERROR(INDEX(Players!$I$4:$I$503,MATCH(433,Players!$K$4:$K$503,0)),"")</f>
        <v/>
      </c>
    </row>
    <row r="437" spans="1:7">
      <c r="A437" s="1" t="str">
        <f>IFERROR(INDEX(Players!$B$4:$B$503,MATCH(434,Players!$K$4:$K$503,0)),"")</f>
        <v/>
      </c>
      <c r="B437" s="1" t="str">
        <f>IFERROR(INDEX(Players!$C$4:$C$503,MATCH(434,Players!$K$4:$K$503,0)),"")</f>
        <v/>
      </c>
      <c r="C437" s="1" t="str">
        <f>IFERROR(INDEX(Players!$D$4:$D$503,MATCH(434,Players!$K$4:$K$503,0)),"")</f>
        <v/>
      </c>
      <c r="D437" s="7" t="str">
        <f>IFERROR(INDEX(Players!$E$4:$E$503,MATCH(434,Players!$K$4:$K$503,0)),"")</f>
        <v/>
      </c>
      <c r="E437" s="1" t="str">
        <f>IFERROR(INDEX(Players!$G$4:$G$503,MATCH(434,Players!$K$4:$K$503,0)),"")</f>
        <v/>
      </c>
      <c r="F437" s="7" t="str">
        <f>IFERROR(INDEX(Players!$H$4:$H$503,MATCH(434,Players!$K$4:$K$503,0)),"")</f>
        <v/>
      </c>
      <c r="G437" s="1" t="str">
        <f>IFERROR(INDEX(Players!$I$4:$I$503,MATCH(434,Players!$K$4:$K$503,0)),"")</f>
        <v/>
      </c>
    </row>
    <row r="438" spans="1:7">
      <c r="A438" s="1" t="str">
        <f>IFERROR(INDEX(Players!$B$4:$B$503,MATCH(435,Players!$K$4:$K$503,0)),"")</f>
        <v/>
      </c>
      <c r="B438" s="1" t="str">
        <f>IFERROR(INDEX(Players!$C$4:$C$503,MATCH(435,Players!$K$4:$K$503,0)),"")</f>
        <v/>
      </c>
      <c r="C438" s="1" t="str">
        <f>IFERROR(INDEX(Players!$D$4:$D$503,MATCH(435,Players!$K$4:$K$503,0)),"")</f>
        <v/>
      </c>
      <c r="D438" s="7" t="str">
        <f>IFERROR(INDEX(Players!$E$4:$E$503,MATCH(435,Players!$K$4:$K$503,0)),"")</f>
        <v/>
      </c>
      <c r="E438" s="1" t="str">
        <f>IFERROR(INDEX(Players!$G$4:$G$503,MATCH(435,Players!$K$4:$K$503,0)),"")</f>
        <v/>
      </c>
      <c r="F438" s="7" t="str">
        <f>IFERROR(INDEX(Players!$H$4:$H$503,MATCH(435,Players!$K$4:$K$503,0)),"")</f>
        <v/>
      </c>
      <c r="G438" s="1" t="str">
        <f>IFERROR(INDEX(Players!$I$4:$I$503,MATCH(435,Players!$K$4:$K$503,0)),"")</f>
        <v/>
      </c>
    </row>
    <row r="439" spans="1:7">
      <c r="A439" s="1" t="str">
        <f>IFERROR(INDEX(Players!$B$4:$B$503,MATCH(436,Players!$K$4:$K$503,0)),"")</f>
        <v/>
      </c>
      <c r="B439" s="1" t="str">
        <f>IFERROR(INDEX(Players!$C$4:$C$503,MATCH(436,Players!$K$4:$K$503,0)),"")</f>
        <v/>
      </c>
      <c r="C439" s="1" t="str">
        <f>IFERROR(INDEX(Players!$D$4:$D$503,MATCH(436,Players!$K$4:$K$503,0)),"")</f>
        <v/>
      </c>
      <c r="D439" s="7" t="str">
        <f>IFERROR(INDEX(Players!$E$4:$E$503,MATCH(436,Players!$K$4:$K$503,0)),"")</f>
        <v/>
      </c>
      <c r="E439" s="1" t="str">
        <f>IFERROR(INDEX(Players!$G$4:$G$503,MATCH(436,Players!$K$4:$K$503,0)),"")</f>
        <v/>
      </c>
      <c r="F439" s="7" t="str">
        <f>IFERROR(INDEX(Players!$H$4:$H$503,MATCH(436,Players!$K$4:$K$503,0)),"")</f>
        <v/>
      </c>
      <c r="G439" s="1" t="str">
        <f>IFERROR(INDEX(Players!$I$4:$I$503,MATCH(436,Players!$K$4:$K$503,0)),"")</f>
        <v/>
      </c>
    </row>
    <row r="440" spans="1:7">
      <c r="A440" s="1" t="str">
        <f>IFERROR(INDEX(Players!$B$4:$B$503,MATCH(437,Players!$K$4:$K$503,0)),"")</f>
        <v/>
      </c>
      <c r="B440" s="1" t="str">
        <f>IFERROR(INDEX(Players!$C$4:$C$503,MATCH(437,Players!$K$4:$K$503,0)),"")</f>
        <v/>
      </c>
      <c r="C440" s="1" t="str">
        <f>IFERROR(INDEX(Players!$D$4:$D$503,MATCH(437,Players!$K$4:$K$503,0)),"")</f>
        <v/>
      </c>
      <c r="D440" s="7" t="str">
        <f>IFERROR(INDEX(Players!$E$4:$E$503,MATCH(437,Players!$K$4:$K$503,0)),"")</f>
        <v/>
      </c>
      <c r="E440" s="1" t="str">
        <f>IFERROR(INDEX(Players!$G$4:$G$503,MATCH(437,Players!$K$4:$K$503,0)),"")</f>
        <v/>
      </c>
      <c r="F440" s="7" t="str">
        <f>IFERROR(INDEX(Players!$H$4:$H$503,MATCH(437,Players!$K$4:$K$503,0)),"")</f>
        <v/>
      </c>
      <c r="G440" s="1" t="str">
        <f>IFERROR(INDEX(Players!$I$4:$I$503,MATCH(437,Players!$K$4:$K$503,0)),"")</f>
        <v/>
      </c>
    </row>
    <row r="441" spans="1:7">
      <c r="A441" s="1" t="str">
        <f>IFERROR(INDEX(Players!$B$4:$B$503,MATCH(438,Players!$K$4:$K$503,0)),"")</f>
        <v/>
      </c>
      <c r="B441" s="1" t="str">
        <f>IFERROR(INDEX(Players!$C$4:$C$503,MATCH(438,Players!$K$4:$K$503,0)),"")</f>
        <v/>
      </c>
      <c r="C441" s="1" t="str">
        <f>IFERROR(INDEX(Players!$D$4:$D$503,MATCH(438,Players!$K$4:$K$503,0)),"")</f>
        <v/>
      </c>
      <c r="D441" s="7" t="str">
        <f>IFERROR(INDEX(Players!$E$4:$E$503,MATCH(438,Players!$K$4:$K$503,0)),"")</f>
        <v/>
      </c>
      <c r="E441" s="1" t="str">
        <f>IFERROR(INDEX(Players!$G$4:$G$503,MATCH(438,Players!$K$4:$K$503,0)),"")</f>
        <v/>
      </c>
      <c r="F441" s="7" t="str">
        <f>IFERROR(INDEX(Players!$H$4:$H$503,MATCH(438,Players!$K$4:$K$503,0)),"")</f>
        <v/>
      </c>
      <c r="G441" s="1" t="str">
        <f>IFERROR(INDEX(Players!$I$4:$I$503,MATCH(438,Players!$K$4:$K$503,0)),"")</f>
        <v/>
      </c>
    </row>
    <row r="442" spans="1:7">
      <c r="A442" s="1" t="str">
        <f>IFERROR(INDEX(Players!$B$4:$B$503,MATCH(439,Players!$K$4:$K$503,0)),"")</f>
        <v/>
      </c>
      <c r="B442" s="1" t="str">
        <f>IFERROR(INDEX(Players!$C$4:$C$503,MATCH(439,Players!$K$4:$K$503,0)),"")</f>
        <v/>
      </c>
      <c r="C442" s="1" t="str">
        <f>IFERROR(INDEX(Players!$D$4:$D$503,MATCH(439,Players!$K$4:$K$503,0)),"")</f>
        <v/>
      </c>
      <c r="D442" s="7" t="str">
        <f>IFERROR(INDEX(Players!$E$4:$E$503,MATCH(439,Players!$K$4:$K$503,0)),"")</f>
        <v/>
      </c>
      <c r="E442" s="1" t="str">
        <f>IFERROR(INDEX(Players!$G$4:$G$503,MATCH(439,Players!$K$4:$K$503,0)),"")</f>
        <v/>
      </c>
      <c r="F442" s="7" t="str">
        <f>IFERROR(INDEX(Players!$H$4:$H$503,MATCH(439,Players!$K$4:$K$503,0)),"")</f>
        <v/>
      </c>
      <c r="G442" s="1" t="str">
        <f>IFERROR(INDEX(Players!$I$4:$I$503,MATCH(439,Players!$K$4:$K$503,0)),"")</f>
        <v/>
      </c>
    </row>
    <row r="443" spans="1:7">
      <c r="A443" s="1" t="str">
        <f>IFERROR(INDEX(Players!$B$4:$B$503,MATCH(440,Players!$K$4:$K$503,0)),"")</f>
        <v/>
      </c>
      <c r="B443" s="1" t="str">
        <f>IFERROR(INDEX(Players!$C$4:$C$503,MATCH(440,Players!$K$4:$K$503,0)),"")</f>
        <v/>
      </c>
      <c r="C443" s="1" t="str">
        <f>IFERROR(INDEX(Players!$D$4:$D$503,MATCH(440,Players!$K$4:$K$503,0)),"")</f>
        <v/>
      </c>
      <c r="D443" s="7" t="str">
        <f>IFERROR(INDEX(Players!$E$4:$E$503,MATCH(440,Players!$K$4:$K$503,0)),"")</f>
        <v/>
      </c>
      <c r="E443" s="1" t="str">
        <f>IFERROR(INDEX(Players!$G$4:$G$503,MATCH(440,Players!$K$4:$K$503,0)),"")</f>
        <v/>
      </c>
      <c r="F443" s="7" t="str">
        <f>IFERROR(INDEX(Players!$H$4:$H$503,MATCH(440,Players!$K$4:$K$503,0)),"")</f>
        <v/>
      </c>
      <c r="G443" s="1" t="str">
        <f>IFERROR(INDEX(Players!$I$4:$I$503,MATCH(440,Players!$K$4:$K$503,0)),"")</f>
        <v/>
      </c>
    </row>
    <row r="444" spans="1:7">
      <c r="A444" s="1" t="str">
        <f>IFERROR(INDEX(Players!$B$4:$B$503,MATCH(441,Players!$K$4:$K$503,0)),"")</f>
        <v/>
      </c>
      <c r="B444" s="1" t="str">
        <f>IFERROR(INDEX(Players!$C$4:$C$503,MATCH(441,Players!$K$4:$K$503,0)),"")</f>
        <v/>
      </c>
      <c r="C444" s="1" t="str">
        <f>IFERROR(INDEX(Players!$D$4:$D$503,MATCH(441,Players!$K$4:$K$503,0)),"")</f>
        <v/>
      </c>
      <c r="D444" s="7" t="str">
        <f>IFERROR(INDEX(Players!$E$4:$E$503,MATCH(441,Players!$K$4:$K$503,0)),"")</f>
        <v/>
      </c>
      <c r="E444" s="1" t="str">
        <f>IFERROR(INDEX(Players!$G$4:$G$503,MATCH(441,Players!$K$4:$K$503,0)),"")</f>
        <v/>
      </c>
      <c r="F444" s="7" t="str">
        <f>IFERROR(INDEX(Players!$H$4:$H$503,MATCH(441,Players!$K$4:$K$503,0)),"")</f>
        <v/>
      </c>
      <c r="G444" s="1" t="str">
        <f>IFERROR(INDEX(Players!$I$4:$I$503,MATCH(441,Players!$K$4:$K$503,0)),"")</f>
        <v/>
      </c>
    </row>
    <row r="445" spans="1:7">
      <c r="A445" s="1" t="str">
        <f>IFERROR(INDEX(Players!$B$4:$B$503,MATCH(442,Players!$K$4:$K$503,0)),"")</f>
        <v/>
      </c>
      <c r="B445" s="1" t="str">
        <f>IFERROR(INDEX(Players!$C$4:$C$503,MATCH(442,Players!$K$4:$K$503,0)),"")</f>
        <v/>
      </c>
      <c r="C445" s="1" t="str">
        <f>IFERROR(INDEX(Players!$D$4:$D$503,MATCH(442,Players!$K$4:$K$503,0)),"")</f>
        <v/>
      </c>
      <c r="D445" s="7" t="str">
        <f>IFERROR(INDEX(Players!$E$4:$E$503,MATCH(442,Players!$K$4:$K$503,0)),"")</f>
        <v/>
      </c>
      <c r="E445" s="1" t="str">
        <f>IFERROR(INDEX(Players!$G$4:$G$503,MATCH(442,Players!$K$4:$K$503,0)),"")</f>
        <v/>
      </c>
      <c r="F445" s="7" t="str">
        <f>IFERROR(INDEX(Players!$H$4:$H$503,MATCH(442,Players!$K$4:$K$503,0)),"")</f>
        <v/>
      </c>
      <c r="G445" s="1" t="str">
        <f>IFERROR(INDEX(Players!$I$4:$I$503,MATCH(442,Players!$K$4:$K$503,0)),"")</f>
        <v/>
      </c>
    </row>
    <row r="446" spans="1:7">
      <c r="A446" s="1" t="str">
        <f>IFERROR(INDEX(Players!$B$4:$B$503,MATCH(443,Players!$K$4:$K$503,0)),"")</f>
        <v/>
      </c>
      <c r="B446" s="1" t="str">
        <f>IFERROR(INDEX(Players!$C$4:$C$503,MATCH(443,Players!$K$4:$K$503,0)),"")</f>
        <v/>
      </c>
      <c r="C446" s="1" t="str">
        <f>IFERROR(INDEX(Players!$D$4:$D$503,MATCH(443,Players!$K$4:$K$503,0)),"")</f>
        <v/>
      </c>
      <c r="D446" s="7" t="str">
        <f>IFERROR(INDEX(Players!$E$4:$E$503,MATCH(443,Players!$K$4:$K$503,0)),"")</f>
        <v/>
      </c>
      <c r="E446" s="1" t="str">
        <f>IFERROR(INDEX(Players!$G$4:$G$503,MATCH(443,Players!$K$4:$K$503,0)),"")</f>
        <v/>
      </c>
      <c r="F446" s="7" t="str">
        <f>IFERROR(INDEX(Players!$H$4:$H$503,MATCH(443,Players!$K$4:$K$503,0)),"")</f>
        <v/>
      </c>
      <c r="G446" s="1" t="str">
        <f>IFERROR(INDEX(Players!$I$4:$I$503,MATCH(443,Players!$K$4:$K$503,0)),"")</f>
        <v/>
      </c>
    </row>
    <row r="447" spans="1:7">
      <c r="A447" s="1" t="str">
        <f>IFERROR(INDEX(Players!$B$4:$B$503,MATCH(444,Players!$K$4:$K$503,0)),"")</f>
        <v/>
      </c>
      <c r="B447" s="1" t="str">
        <f>IFERROR(INDEX(Players!$C$4:$C$503,MATCH(444,Players!$K$4:$K$503,0)),"")</f>
        <v/>
      </c>
      <c r="C447" s="1" t="str">
        <f>IFERROR(INDEX(Players!$D$4:$D$503,MATCH(444,Players!$K$4:$K$503,0)),"")</f>
        <v/>
      </c>
      <c r="D447" s="7" t="str">
        <f>IFERROR(INDEX(Players!$E$4:$E$503,MATCH(444,Players!$K$4:$K$503,0)),"")</f>
        <v/>
      </c>
      <c r="E447" s="1" t="str">
        <f>IFERROR(INDEX(Players!$G$4:$G$503,MATCH(444,Players!$K$4:$K$503,0)),"")</f>
        <v/>
      </c>
      <c r="F447" s="7" t="str">
        <f>IFERROR(INDEX(Players!$H$4:$H$503,MATCH(444,Players!$K$4:$K$503,0)),"")</f>
        <v/>
      </c>
      <c r="G447" s="1" t="str">
        <f>IFERROR(INDEX(Players!$I$4:$I$503,MATCH(444,Players!$K$4:$K$503,0)),"")</f>
        <v/>
      </c>
    </row>
    <row r="448" spans="1:7">
      <c r="A448" s="1" t="str">
        <f>IFERROR(INDEX(Players!$B$4:$B$503,MATCH(445,Players!$K$4:$K$503,0)),"")</f>
        <v/>
      </c>
      <c r="B448" s="1" t="str">
        <f>IFERROR(INDEX(Players!$C$4:$C$503,MATCH(445,Players!$K$4:$K$503,0)),"")</f>
        <v/>
      </c>
      <c r="C448" s="1" t="str">
        <f>IFERROR(INDEX(Players!$D$4:$D$503,MATCH(445,Players!$K$4:$K$503,0)),"")</f>
        <v/>
      </c>
      <c r="D448" s="7" t="str">
        <f>IFERROR(INDEX(Players!$E$4:$E$503,MATCH(445,Players!$K$4:$K$503,0)),"")</f>
        <v/>
      </c>
      <c r="E448" s="1" t="str">
        <f>IFERROR(INDEX(Players!$G$4:$G$503,MATCH(445,Players!$K$4:$K$503,0)),"")</f>
        <v/>
      </c>
      <c r="F448" s="7" t="str">
        <f>IFERROR(INDEX(Players!$H$4:$H$503,MATCH(445,Players!$K$4:$K$503,0)),"")</f>
        <v/>
      </c>
      <c r="G448" s="1" t="str">
        <f>IFERROR(INDEX(Players!$I$4:$I$503,MATCH(445,Players!$K$4:$K$503,0)),"")</f>
        <v/>
      </c>
    </row>
    <row r="449" spans="1:7">
      <c r="A449" s="1" t="str">
        <f>IFERROR(INDEX(Players!$B$4:$B$503,MATCH(446,Players!$K$4:$K$503,0)),"")</f>
        <v/>
      </c>
      <c r="B449" s="1" t="str">
        <f>IFERROR(INDEX(Players!$C$4:$C$503,MATCH(446,Players!$K$4:$K$503,0)),"")</f>
        <v/>
      </c>
      <c r="C449" s="1" t="str">
        <f>IFERROR(INDEX(Players!$D$4:$D$503,MATCH(446,Players!$K$4:$K$503,0)),"")</f>
        <v/>
      </c>
      <c r="D449" s="7" t="str">
        <f>IFERROR(INDEX(Players!$E$4:$E$503,MATCH(446,Players!$K$4:$K$503,0)),"")</f>
        <v/>
      </c>
      <c r="E449" s="1" t="str">
        <f>IFERROR(INDEX(Players!$G$4:$G$503,MATCH(446,Players!$K$4:$K$503,0)),"")</f>
        <v/>
      </c>
      <c r="F449" s="7" t="str">
        <f>IFERROR(INDEX(Players!$H$4:$H$503,MATCH(446,Players!$K$4:$K$503,0)),"")</f>
        <v/>
      </c>
      <c r="G449" s="1" t="str">
        <f>IFERROR(INDEX(Players!$I$4:$I$503,MATCH(446,Players!$K$4:$K$503,0)),"")</f>
        <v/>
      </c>
    </row>
    <row r="450" spans="1:7">
      <c r="A450" s="1" t="str">
        <f>IFERROR(INDEX(Players!$B$4:$B$503,MATCH(447,Players!$K$4:$K$503,0)),"")</f>
        <v/>
      </c>
      <c r="B450" s="1" t="str">
        <f>IFERROR(INDEX(Players!$C$4:$C$503,MATCH(447,Players!$K$4:$K$503,0)),"")</f>
        <v/>
      </c>
      <c r="C450" s="1" t="str">
        <f>IFERROR(INDEX(Players!$D$4:$D$503,MATCH(447,Players!$K$4:$K$503,0)),"")</f>
        <v/>
      </c>
      <c r="D450" s="7" t="str">
        <f>IFERROR(INDEX(Players!$E$4:$E$503,MATCH(447,Players!$K$4:$K$503,0)),"")</f>
        <v/>
      </c>
      <c r="E450" s="1" t="str">
        <f>IFERROR(INDEX(Players!$G$4:$G$503,MATCH(447,Players!$K$4:$K$503,0)),"")</f>
        <v/>
      </c>
      <c r="F450" s="7" t="str">
        <f>IFERROR(INDEX(Players!$H$4:$H$503,MATCH(447,Players!$K$4:$K$503,0)),"")</f>
        <v/>
      </c>
      <c r="G450" s="1" t="str">
        <f>IFERROR(INDEX(Players!$I$4:$I$503,MATCH(447,Players!$K$4:$K$503,0)),"")</f>
        <v/>
      </c>
    </row>
    <row r="451" spans="1:7">
      <c r="A451" s="1" t="str">
        <f>IFERROR(INDEX(Players!$B$4:$B$503,MATCH(448,Players!$K$4:$K$503,0)),"")</f>
        <v/>
      </c>
      <c r="B451" s="1" t="str">
        <f>IFERROR(INDEX(Players!$C$4:$C$503,MATCH(448,Players!$K$4:$K$503,0)),"")</f>
        <v/>
      </c>
      <c r="C451" s="1" t="str">
        <f>IFERROR(INDEX(Players!$D$4:$D$503,MATCH(448,Players!$K$4:$K$503,0)),"")</f>
        <v/>
      </c>
      <c r="D451" s="7" t="str">
        <f>IFERROR(INDEX(Players!$E$4:$E$503,MATCH(448,Players!$K$4:$K$503,0)),"")</f>
        <v/>
      </c>
      <c r="E451" s="1" t="str">
        <f>IFERROR(INDEX(Players!$G$4:$G$503,MATCH(448,Players!$K$4:$K$503,0)),"")</f>
        <v/>
      </c>
      <c r="F451" s="7" t="str">
        <f>IFERROR(INDEX(Players!$H$4:$H$503,MATCH(448,Players!$K$4:$K$503,0)),"")</f>
        <v/>
      </c>
      <c r="G451" s="1" t="str">
        <f>IFERROR(INDEX(Players!$I$4:$I$503,MATCH(448,Players!$K$4:$K$503,0)),"")</f>
        <v/>
      </c>
    </row>
    <row r="452" spans="1:7">
      <c r="A452" s="1" t="str">
        <f>IFERROR(INDEX(Players!$B$4:$B$503,MATCH(449,Players!$K$4:$K$503,0)),"")</f>
        <v/>
      </c>
      <c r="B452" s="1" t="str">
        <f>IFERROR(INDEX(Players!$C$4:$C$503,MATCH(449,Players!$K$4:$K$503,0)),"")</f>
        <v/>
      </c>
      <c r="C452" s="1" t="str">
        <f>IFERROR(INDEX(Players!$D$4:$D$503,MATCH(449,Players!$K$4:$K$503,0)),"")</f>
        <v/>
      </c>
      <c r="D452" s="7" t="str">
        <f>IFERROR(INDEX(Players!$E$4:$E$503,MATCH(449,Players!$K$4:$K$503,0)),"")</f>
        <v/>
      </c>
      <c r="E452" s="1" t="str">
        <f>IFERROR(INDEX(Players!$G$4:$G$503,MATCH(449,Players!$K$4:$K$503,0)),"")</f>
        <v/>
      </c>
      <c r="F452" s="7" t="str">
        <f>IFERROR(INDEX(Players!$H$4:$H$503,MATCH(449,Players!$K$4:$K$503,0)),"")</f>
        <v/>
      </c>
      <c r="G452" s="1" t="str">
        <f>IFERROR(INDEX(Players!$I$4:$I$503,MATCH(449,Players!$K$4:$K$503,0)),"")</f>
        <v/>
      </c>
    </row>
    <row r="453" spans="1:7">
      <c r="A453" s="1" t="str">
        <f>IFERROR(INDEX(Players!$B$4:$B$503,MATCH(450,Players!$K$4:$K$503,0)),"")</f>
        <v/>
      </c>
      <c r="B453" s="1" t="str">
        <f>IFERROR(INDEX(Players!$C$4:$C$503,MATCH(450,Players!$K$4:$K$503,0)),"")</f>
        <v/>
      </c>
      <c r="C453" s="1" t="str">
        <f>IFERROR(INDEX(Players!$D$4:$D$503,MATCH(450,Players!$K$4:$K$503,0)),"")</f>
        <v/>
      </c>
      <c r="D453" s="7" t="str">
        <f>IFERROR(INDEX(Players!$E$4:$E$503,MATCH(450,Players!$K$4:$K$503,0)),"")</f>
        <v/>
      </c>
      <c r="E453" s="1" t="str">
        <f>IFERROR(INDEX(Players!$G$4:$G$503,MATCH(450,Players!$K$4:$K$503,0)),"")</f>
        <v/>
      </c>
      <c r="F453" s="7" t="str">
        <f>IFERROR(INDEX(Players!$H$4:$H$503,MATCH(450,Players!$K$4:$K$503,0)),"")</f>
        <v/>
      </c>
      <c r="G453" s="1" t="str">
        <f>IFERROR(INDEX(Players!$I$4:$I$503,MATCH(450,Players!$K$4:$K$503,0)),"")</f>
        <v/>
      </c>
    </row>
    <row r="454" spans="1:7">
      <c r="A454" s="1" t="str">
        <f>IFERROR(INDEX(Players!$B$4:$B$503,MATCH(451,Players!$K$4:$K$503,0)),"")</f>
        <v/>
      </c>
      <c r="B454" s="1" t="str">
        <f>IFERROR(INDEX(Players!$C$4:$C$503,MATCH(451,Players!$K$4:$K$503,0)),"")</f>
        <v/>
      </c>
      <c r="C454" s="1" t="str">
        <f>IFERROR(INDEX(Players!$D$4:$D$503,MATCH(451,Players!$K$4:$K$503,0)),"")</f>
        <v/>
      </c>
      <c r="D454" s="7" t="str">
        <f>IFERROR(INDEX(Players!$E$4:$E$503,MATCH(451,Players!$K$4:$K$503,0)),"")</f>
        <v/>
      </c>
      <c r="E454" s="1" t="str">
        <f>IFERROR(INDEX(Players!$G$4:$G$503,MATCH(451,Players!$K$4:$K$503,0)),"")</f>
        <v/>
      </c>
      <c r="F454" s="7" t="str">
        <f>IFERROR(INDEX(Players!$H$4:$H$503,MATCH(451,Players!$K$4:$K$503,0)),"")</f>
        <v/>
      </c>
      <c r="G454" s="1" t="str">
        <f>IFERROR(INDEX(Players!$I$4:$I$503,MATCH(451,Players!$K$4:$K$503,0)),"")</f>
        <v/>
      </c>
    </row>
    <row r="455" spans="1:7">
      <c r="A455" s="1" t="str">
        <f>IFERROR(INDEX(Players!$B$4:$B$503,MATCH(452,Players!$K$4:$K$503,0)),"")</f>
        <v/>
      </c>
      <c r="B455" s="1" t="str">
        <f>IFERROR(INDEX(Players!$C$4:$C$503,MATCH(452,Players!$K$4:$K$503,0)),"")</f>
        <v/>
      </c>
      <c r="C455" s="1" t="str">
        <f>IFERROR(INDEX(Players!$D$4:$D$503,MATCH(452,Players!$K$4:$K$503,0)),"")</f>
        <v/>
      </c>
      <c r="D455" s="7" t="str">
        <f>IFERROR(INDEX(Players!$E$4:$E$503,MATCH(452,Players!$K$4:$K$503,0)),"")</f>
        <v/>
      </c>
      <c r="E455" s="1" t="str">
        <f>IFERROR(INDEX(Players!$G$4:$G$503,MATCH(452,Players!$K$4:$K$503,0)),"")</f>
        <v/>
      </c>
      <c r="F455" s="7" t="str">
        <f>IFERROR(INDEX(Players!$H$4:$H$503,MATCH(452,Players!$K$4:$K$503,0)),"")</f>
        <v/>
      </c>
      <c r="G455" s="1" t="str">
        <f>IFERROR(INDEX(Players!$I$4:$I$503,MATCH(452,Players!$K$4:$K$503,0)),"")</f>
        <v/>
      </c>
    </row>
    <row r="456" spans="1:7">
      <c r="A456" s="1" t="str">
        <f>IFERROR(INDEX(Players!$B$4:$B$503,MATCH(453,Players!$K$4:$K$503,0)),"")</f>
        <v/>
      </c>
      <c r="B456" s="1" t="str">
        <f>IFERROR(INDEX(Players!$C$4:$C$503,MATCH(453,Players!$K$4:$K$503,0)),"")</f>
        <v/>
      </c>
      <c r="C456" s="1" t="str">
        <f>IFERROR(INDEX(Players!$D$4:$D$503,MATCH(453,Players!$K$4:$K$503,0)),"")</f>
        <v/>
      </c>
      <c r="D456" s="7" t="str">
        <f>IFERROR(INDEX(Players!$E$4:$E$503,MATCH(453,Players!$K$4:$K$503,0)),"")</f>
        <v/>
      </c>
      <c r="E456" s="1" t="str">
        <f>IFERROR(INDEX(Players!$G$4:$G$503,MATCH(453,Players!$K$4:$K$503,0)),"")</f>
        <v/>
      </c>
      <c r="F456" s="7" t="str">
        <f>IFERROR(INDEX(Players!$H$4:$H$503,MATCH(453,Players!$K$4:$K$503,0)),"")</f>
        <v/>
      </c>
      <c r="G456" s="1" t="str">
        <f>IFERROR(INDEX(Players!$I$4:$I$503,MATCH(453,Players!$K$4:$K$503,0)),"")</f>
        <v/>
      </c>
    </row>
    <row r="457" spans="1:7">
      <c r="A457" s="1" t="str">
        <f>IFERROR(INDEX(Players!$B$4:$B$503,MATCH(454,Players!$K$4:$K$503,0)),"")</f>
        <v/>
      </c>
      <c r="B457" s="1" t="str">
        <f>IFERROR(INDEX(Players!$C$4:$C$503,MATCH(454,Players!$K$4:$K$503,0)),"")</f>
        <v/>
      </c>
      <c r="C457" s="1" t="str">
        <f>IFERROR(INDEX(Players!$D$4:$D$503,MATCH(454,Players!$K$4:$K$503,0)),"")</f>
        <v/>
      </c>
      <c r="D457" s="7" t="str">
        <f>IFERROR(INDEX(Players!$E$4:$E$503,MATCH(454,Players!$K$4:$K$503,0)),"")</f>
        <v/>
      </c>
      <c r="E457" s="1" t="str">
        <f>IFERROR(INDEX(Players!$G$4:$G$503,MATCH(454,Players!$K$4:$K$503,0)),"")</f>
        <v/>
      </c>
      <c r="F457" s="7" t="str">
        <f>IFERROR(INDEX(Players!$H$4:$H$503,MATCH(454,Players!$K$4:$K$503,0)),"")</f>
        <v/>
      </c>
      <c r="G457" s="1" t="str">
        <f>IFERROR(INDEX(Players!$I$4:$I$503,MATCH(454,Players!$K$4:$K$503,0)),"")</f>
        <v/>
      </c>
    </row>
    <row r="458" spans="1:7">
      <c r="A458" s="1" t="str">
        <f>IFERROR(INDEX(Players!$B$4:$B$503,MATCH(455,Players!$K$4:$K$503,0)),"")</f>
        <v/>
      </c>
      <c r="B458" s="1" t="str">
        <f>IFERROR(INDEX(Players!$C$4:$C$503,MATCH(455,Players!$K$4:$K$503,0)),"")</f>
        <v/>
      </c>
      <c r="C458" s="1" t="str">
        <f>IFERROR(INDEX(Players!$D$4:$D$503,MATCH(455,Players!$K$4:$K$503,0)),"")</f>
        <v/>
      </c>
      <c r="D458" s="7" t="str">
        <f>IFERROR(INDEX(Players!$E$4:$E$503,MATCH(455,Players!$K$4:$K$503,0)),"")</f>
        <v/>
      </c>
      <c r="E458" s="1" t="str">
        <f>IFERROR(INDEX(Players!$G$4:$G$503,MATCH(455,Players!$K$4:$K$503,0)),"")</f>
        <v/>
      </c>
      <c r="F458" s="7" t="str">
        <f>IFERROR(INDEX(Players!$H$4:$H$503,MATCH(455,Players!$K$4:$K$503,0)),"")</f>
        <v/>
      </c>
      <c r="G458" s="1" t="str">
        <f>IFERROR(INDEX(Players!$I$4:$I$503,MATCH(455,Players!$K$4:$K$503,0)),"")</f>
        <v/>
      </c>
    </row>
    <row r="459" spans="1:7">
      <c r="A459" s="1" t="str">
        <f>IFERROR(INDEX(Players!$B$4:$B$503,MATCH(456,Players!$K$4:$K$503,0)),"")</f>
        <v/>
      </c>
      <c r="B459" s="1" t="str">
        <f>IFERROR(INDEX(Players!$C$4:$C$503,MATCH(456,Players!$K$4:$K$503,0)),"")</f>
        <v/>
      </c>
      <c r="C459" s="1" t="str">
        <f>IFERROR(INDEX(Players!$D$4:$D$503,MATCH(456,Players!$K$4:$K$503,0)),"")</f>
        <v/>
      </c>
      <c r="D459" s="7" t="str">
        <f>IFERROR(INDEX(Players!$E$4:$E$503,MATCH(456,Players!$K$4:$K$503,0)),"")</f>
        <v/>
      </c>
      <c r="E459" s="1" t="str">
        <f>IFERROR(INDEX(Players!$G$4:$G$503,MATCH(456,Players!$K$4:$K$503,0)),"")</f>
        <v/>
      </c>
      <c r="F459" s="7" t="str">
        <f>IFERROR(INDEX(Players!$H$4:$H$503,MATCH(456,Players!$K$4:$K$503,0)),"")</f>
        <v/>
      </c>
      <c r="G459" s="1" t="str">
        <f>IFERROR(INDEX(Players!$I$4:$I$503,MATCH(456,Players!$K$4:$K$503,0)),"")</f>
        <v/>
      </c>
    </row>
    <row r="460" spans="1:7">
      <c r="A460" s="1" t="str">
        <f>IFERROR(INDEX(Players!$B$4:$B$503,MATCH(457,Players!$K$4:$K$503,0)),"")</f>
        <v/>
      </c>
      <c r="B460" s="1" t="str">
        <f>IFERROR(INDEX(Players!$C$4:$C$503,MATCH(457,Players!$K$4:$K$503,0)),"")</f>
        <v/>
      </c>
      <c r="C460" s="1" t="str">
        <f>IFERROR(INDEX(Players!$D$4:$D$503,MATCH(457,Players!$K$4:$K$503,0)),"")</f>
        <v/>
      </c>
      <c r="D460" s="7" t="str">
        <f>IFERROR(INDEX(Players!$E$4:$E$503,MATCH(457,Players!$K$4:$K$503,0)),"")</f>
        <v/>
      </c>
      <c r="E460" s="1" t="str">
        <f>IFERROR(INDEX(Players!$G$4:$G$503,MATCH(457,Players!$K$4:$K$503,0)),"")</f>
        <v/>
      </c>
      <c r="F460" s="7" t="str">
        <f>IFERROR(INDEX(Players!$H$4:$H$503,MATCH(457,Players!$K$4:$K$503,0)),"")</f>
        <v/>
      </c>
      <c r="G460" s="1" t="str">
        <f>IFERROR(INDEX(Players!$I$4:$I$503,MATCH(457,Players!$K$4:$K$503,0)),"")</f>
        <v/>
      </c>
    </row>
    <row r="461" spans="1:7">
      <c r="A461" s="1" t="str">
        <f>IFERROR(INDEX(Players!$B$4:$B$503,MATCH(458,Players!$K$4:$K$503,0)),"")</f>
        <v/>
      </c>
      <c r="B461" s="1" t="str">
        <f>IFERROR(INDEX(Players!$C$4:$C$503,MATCH(458,Players!$K$4:$K$503,0)),"")</f>
        <v/>
      </c>
      <c r="C461" s="1" t="str">
        <f>IFERROR(INDEX(Players!$D$4:$D$503,MATCH(458,Players!$K$4:$K$503,0)),"")</f>
        <v/>
      </c>
      <c r="D461" s="7" t="str">
        <f>IFERROR(INDEX(Players!$E$4:$E$503,MATCH(458,Players!$K$4:$K$503,0)),"")</f>
        <v/>
      </c>
      <c r="E461" s="1" t="str">
        <f>IFERROR(INDEX(Players!$G$4:$G$503,MATCH(458,Players!$K$4:$K$503,0)),"")</f>
        <v/>
      </c>
      <c r="F461" s="7" t="str">
        <f>IFERROR(INDEX(Players!$H$4:$H$503,MATCH(458,Players!$K$4:$K$503,0)),"")</f>
        <v/>
      </c>
      <c r="G461" s="1" t="str">
        <f>IFERROR(INDEX(Players!$I$4:$I$503,MATCH(458,Players!$K$4:$K$503,0)),"")</f>
        <v/>
      </c>
    </row>
    <row r="462" spans="1:7">
      <c r="A462" s="1" t="str">
        <f>IFERROR(INDEX(Players!$B$4:$B$503,MATCH(459,Players!$K$4:$K$503,0)),"")</f>
        <v/>
      </c>
      <c r="B462" s="1" t="str">
        <f>IFERROR(INDEX(Players!$C$4:$C$503,MATCH(459,Players!$K$4:$K$503,0)),"")</f>
        <v/>
      </c>
      <c r="C462" s="1" t="str">
        <f>IFERROR(INDEX(Players!$D$4:$D$503,MATCH(459,Players!$K$4:$K$503,0)),"")</f>
        <v/>
      </c>
      <c r="D462" s="7" t="str">
        <f>IFERROR(INDEX(Players!$E$4:$E$503,MATCH(459,Players!$K$4:$K$503,0)),"")</f>
        <v/>
      </c>
      <c r="E462" s="1" t="str">
        <f>IFERROR(INDEX(Players!$G$4:$G$503,MATCH(459,Players!$K$4:$K$503,0)),"")</f>
        <v/>
      </c>
      <c r="F462" s="7" t="str">
        <f>IFERROR(INDEX(Players!$H$4:$H$503,MATCH(459,Players!$K$4:$K$503,0)),"")</f>
        <v/>
      </c>
      <c r="G462" s="1" t="str">
        <f>IFERROR(INDEX(Players!$I$4:$I$503,MATCH(459,Players!$K$4:$K$503,0)),"")</f>
        <v/>
      </c>
    </row>
    <row r="463" spans="1:7">
      <c r="A463" s="1" t="str">
        <f>IFERROR(INDEX(Players!$B$4:$B$503,MATCH(460,Players!$K$4:$K$503,0)),"")</f>
        <v/>
      </c>
      <c r="B463" s="1" t="str">
        <f>IFERROR(INDEX(Players!$C$4:$C$503,MATCH(460,Players!$K$4:$K$503,0)),"")</f>
        <v/>
      </c>
      <c r="C463" s="1" t="str">
        <f>IFERROR(INDEX(Players!$D$4:$D$503,MATCH(460,Players!$K$4:$K$503,0)),"")</f>
        <v/>
      </c>
      <c r="D463" s="7" t="str">
        <f>IFERROR(INDEX(Players!$E$4:$E$503,MATCH(460,Players!$K$4:$K$503,0)),"")</f>
        <v/>
      </c>
      <c r="E463" s="1" t="str">
        <f>IFERROR(INDEX(Players!$G$4:$G$503,MATCH(460,Players!$K$4:$K$503,0)),"")</f>
        <v/>
      </c>
      <c r="F463" s="7" t="str">
        <f>IFERROR(INDEX(Players!$H$4:$H$503,MATCH(460,Players!$K$4:$K$503,0)),"")</f>
        <v/>
      </c>
      <c r="G463" s="1" t="str">
        <f>IFERROR(INDEX(Players!$I$4:$I$503,MATCH(460,Players!$K$4:$K$503,0)),"")</f>
        <v/>
      </c>
    </row>
    <row r="464" spans="1:7">
      <c r="A464" s="1" t="str">
        <f>IFERROR(INDEX(Players!$B$4:$B$503,MATCH(461,Players!$K$4:$K$503,0)),"")</f>
        <v/>
      </c>
      <c r="B464" s="1" t="str">
        <f>IFERROR(INDEX(Players!$C$4:$C$503,MATCH(461,Players!$K$4:$K$503,0)),"")</f>
        <v/>
      </c>
      <c r="C464" s="1" t="str">
        <f>IFERROR(INDEX(Players!$D$4:$D$503,MATCH(461,Players!$K$4:$K$503,0)),"")</f>
        <v/>
      </c>
      <c r="D464" s="7" t="str">
        <f>IFERROR(INDEX(Players!$E$4:$E$503,MATCH(461,Players!$K$4:$K$503,0)),"")</f>
        <v/>
      </c>
      <c r="E464" s="1" t="str">
        <f>IFERROR(INDEX(Players!$G$4:$G$503,MATCH(461,Players!$K$4:$K$503,0)),"")</f>
        <v/>
      </c>
      <c r="F464" s="7" t="str">
        <f>IFERROR(INDEX(Players!$H$4:$H$503,MATCH(461,Players!$K$4:$K$503,0)),"")</f>
        <v/>
      </c>
      <c r="G464" s="1" t="str">
        <f>IFERROR(INDEX(Players!$I$4:$I$503,MATCH(461,Players!$K$4:$K$503,0)),"")</f>
        <v/>
      </c>
    </row>
    <row r="465" spans="1:7">
      <c r="A465" s="1" t="str">
        <f>IFERROR(INDEX(Players!$B$4:$B$503,MATCH(462,Players!$K$4:$K$503,0)),"")</f>
        <v/>
      </c>
      <c r="B465" s="1" t="str">
        <f>IFERROR(INDEX(Players!$C$4:$C$503,MATCH(462,Players!$K$4:$K$503,0)),"")</f>
        <v/>
      </c>
      <c r="C465" s="1" t="str">
        <f>IFERROR(INDEX(Players!$D$4:$D$503,MATCH(462,Players!$K$4:$K$503,0)),"")</f>
        <v/>
      </c>
      <c r="D465" s="7" t="str">
        <f>IFERROR(INDEX(Players!$E$4:$E$503,MATCH(462,Players!$K$4:$K$503,0)),"")</f>
        <v/>
      </c>
      <c r="E465" s="1" t="str">
        <f>IFERROR(INDEX(Players!$G$4:$G$503,MATCH(462,Players!$K$4:$K$503,0)),"")</f>
        <v/>
      </c>
      <c r="F465" s="7" t="str">
        <f>IFERROR(INDEX(Players!$H$4:$H$503,MATCH(462,Players!$K$4:$K$503,0)),"")</f>
        <v/>
      </c>
      <c r="G465" s="1" t="str">
        <f>IFERROR(INDEX(Players!$I$4:$I$503,MATCH(462,Players!$K$4:$K$503,0)),"")</f>
        <v/>
      </c>
    </row>
    <row r="466" spans="1:7">
      <c r="A466" s="1" t="str">
        <f>IFERROR(INDEX(Players!$B$4:$B$503,MATCH(463,Players!$K$4:$K$503,0)),"")</f>
        <v/>
      </c>
      <c r="B466" s="1" t="str">
        <f>IFERROR(INDEX(Players!$C$4:$C$503,MATCH(463,Players!$K$4:$K$503,0)),"")</f>
        <v/>
      </c>
      <c r="C466" s="1" t="str">
        <f>IFERROR(INDEX(Players!$D$4:$D$503,MATCH(463,Players!$K$4:$K$503,0)),"")</f>
        <v/>
      </c>
      <c r="D466" s="7" t="str">
        <f>IFERROR(INDEX(Players!$E$4:$E$503,MATCH(463,Players!$K$4:$K$503,0)),"")</f>
        <v/>
      </c>
      <c r="E466" s="1" t="str">
        <f>IFERROR(INDEX(Players!$G$4:$G$503,MATCH(463,Players!$K$4:$K$503,0)),"")</f>
        <v/>
      </c>
      <c r="F466" s="7" t="str">
        <f>IFERROR(INDEX(Players!$H$4:$H$503,MATCH(463,Players!$K$4:$K$503,0)),"")</f>
        <v/>
      </c>
      <c r="G466" s="1" t="str">
        <f>IFERROR(INDEX(Players!$I$4:$I$503,MATCH(463,Players!$K$4:$K$503,0)),"")</f>
        <v/>
      </c>
    </row>
    <row r="467" spans="1:7">
      <c r="A467" s="1" t="str">
        <f>IFERROR(INDEX(Players!$B$4:$B$503,MATCH(464,Players!$K$4:$K$503,0)),"")</f>
        <v/>
      </c>
      <c r="B467" s="1" t="str">
        <f>IFERROR(INDEX(Players!$C$4:$C$503,MATCH(464,Players!$K$4:$K$503,0)),"")</f>
        <v/>
      </c>
      <c r="C467" s="1" t="str">
        <f>IFERROR(INDEX(Players!$D$4:$D$503,MATCH(464,Players!$K$4:$K$503,0)),"")</f>
        <v/>
      </c>
      <c r="D467" s="7" t="str">
        <f>IFERROR(INDEX(Players!$E$4:$E$503,MATCH(464,Players!$K$4:$K$503,0)),"")</f>
        <v/>
      </c>
      <c r="E467" s="1" t="str">
        <f>IFERROR(INDEX(Players!$G$4:$G$503,MATCH(464,Players!$K$4:$K$503,0)),"")</f>
        <v/>
      </c>
      <c r="F467" s="7" t="str">
        <f>IFERROR(INDEX(Players!$H$4:$H$503,MATCH(464,Players!$K$4:$K$503,0)),"")</f>
        <v/>
      </c>
      <c r="G467" s="1" t="str">
        <f>IFERROR(INDEX(Players!$I$4:$I$503,MATCH(464,Players!$K$4:$K$503,0)),"")</f>
        <v/>
      </c>
    </row>
    <row r="468" spans="1:7">
      <c r="A468" s="1" t="str">
        <f>IFERROR(INDEX(Players!$B$4:$B$503,MATCH(465,Players!$K$4:$K$503,0)),"")</f>
        <v/>
      </c>
      <c r="B468" s="1" t="str">
        <f>IFERROR(INDEX(Players!$C$4:$C$503,MATCH(465,Players!$K$4:$K$503,0)),"")</f>
        <v/>
      </c>
      <c r="C468" s="1" t="str">
        <f>IFERROR(INDEX(Players!$D$4:$D$503,MATCH(465,Players!$K$4:$K$503,0)),"")</f>
        <v/>
      </c>
      <c r="D468" s="7" t="str">
        <f>IFERROR(INDEX(Players!$E$4:$E$503,MATCH(465,Players!$K$4:$K$503,0)),"")</f>
        <v/>
      </c>
      <c r="E468" s="1" t="str">
        <f>IFERROR(INDEX(Players!$G$4:$G$503,MATCH(465,Players!$K$4:$K$503,0)),"")</f>
        <v/>
      </c>
      <c r="F468" s="7" t="str">
        <f>IFERROR(INDEX(Players!$H$4:$H$503,MATCH(465,Players!$K$4:$K$503,0)),"")</f>
        <v/>
      </c>
      <c r="G468" s="1" t="str">
        <f>IFERROR(INDEX(Players!$I$4:$I$503,MATCH(465,Players!$K$4:$K$503,0)),"")</f>
        <v/>
      </c>
    </row>
    <row r="469" spans="1:7">
      <c r="A469" s="1" t="str">
        <f>IFERROR(INDEX(Players!$B$4:$B$503,MATCH(466,Players!$K$4:$K$503,0)),"")</f>
        <v/>
      </c>
      <c r="B469" s="1" t="str">
        <f>IFERROR(INDEX(Players!$C$4:$C$503,MATCH(466,Players!$K$4:$K$503,0)),"")</f>
        <v/>
      </c>
      <c r="C469" s="1" t="str">
        <f>IFERROR(INDEX(Players!$D$4:$D$503,MATCH(466,Players!$K$4:$K$503,0)),"")</f>
        <v/>
      </c>
      <c r="D469" s="7" t="str">
        <f>IFERROR(INDEX(Players!$E$4:$E$503,MATCH(466,Players!$K$4:$K$503,0)),"")</f>
        <v/>
      </c>
      <c r="E469" s="1" t="str">
        <f>IFERROR(INDEX(Players!$G$4:$G$503,MATCH(466,Players!$K$4:$K$503,0)),"")</f>
        <v/>
      </c>
      <c r="F469" s="7" t="str">
        <f>IFERROR(INDEX(Players!$H$4:$H$503,MATCH(466,Players!$K$4:$K$503,0)),"")</f>
        <v/>
      </c>
      <c r="G469" s="1" t="str">
        <f>IFERROR(INDEX(Players!$I$4:$I$503,MATCH(466,Players!$K$4:$K$503,0)),"")</f>
        <v/>
      </c>
    </row>
    <row r="470" spans="1:7">
      <c r="A470" s="1" t="str">
        <f>IFERROR(INDEX(Players!$B$4:$B$503,MATCH(467,Players!$K$4:$K$503,0)),"")</f>
        <v/>
      </c>
      <c r="B470" s="1" t="str">
        <f>IFERROR(INDEX(Players!$C$4:$C$503,MATCH(467,Players!$K$4:$K$503,0)),"")</f>
        <v/>
      </c>
      <c r="C470" s="1" t="str">
        <f>IFERROR(INDEX(Players!$D$4:$D$503,MATCH(467,Players!$K$4:$K$503,0)),"")</f>
        <v/>
      </c>
      <c r="D470" s="7" t="str">
        <f>IFERROR(INDEX(Players!$E$4:$E$503,MATCH(467,Players!$K$4:$K$503,0)),"")</f>
        <v/>
      </c>
      <c r="E470" s="1" t="str">
        <f>IFERROR(INDEX(Players!$G$4:$G$503,MATCH(467,Players!$K$4:$K$503,0)),"")</f>
        <v/>
      </c>
      <c r="F470" s="7" t="str">
        <f>IFERROR(INDEX(Players!$H$4:$H$503,MATCH(467,Players!$K$4:$K$503,0)),"")</f>
        <v/>
      </c>
      <c r="G470" s="1" t="str">
        <f>IFERROR(INDEX(Players!$I$4:$I$503,MATCH(467,Players!$K$4:$K$503,0)),"")</f>
        <v/>
      </c>
    </row>
    <row r="471" spans="1:7">
      <c r="A471" s="1" t="str">
        <f>IFERROR(INDEX(Players!$B$4:$B$503,MATCH(468,Players!$K$4:$K$503,0)),"")</f>
        <v/>
      </c>
      <c r="B471" s="1" t="str">
        <f>IFERROR(INDEX(Players!$C$4:$C$503,MATCH(468,Players!$K$4:$K$503,0)),"")</f>
        <v/>
      </c>
      <c r="C471" s="1" t="str">
        <f>IFERROR(INDEX(Players!$D$4:$D$503,MATCH(468,Players!$K$4:$K$503,0)),"")</f>
        <v/>
      </c>
      <c r="D471" s="7" t="str">
        <f>IFERROR(INDEX(Players!$E$4:$E$503,MATCH(468,Players!$K$4:$K$503,0)),"")</f>
        <v/>
      </c>
      <c r="E471" s="1" t="str">
        <f>IFERROR(INDEX(Players!$G$4:$G$503,MATCH(468,Players!$K$4:$K$503,0)),"")</f>
        <v/>
      </c>
      <c r="F471" s="7" t="str">
        <f>IFERROR(INDEX(Players!$H$4:$H$503,MATCH(468,Players!$K$4:$K$503,0)),"")</f>
        <v/>
      </c>
      <c r="G471" s="1" t="str">
        <f>IFERROR(INDEX(Players!$I$4:$I$503,MATCH(468,Players!$K$4:$K$503,0)),"")</f>
        <v/>
      </c>
    </row>
    <row r="472" spans="1:7">
      <c r="A472" s="1" t="str">
        <f>IFERROR(INDEX(Players!$B$4:$B$503,MATCH(469,Players!$K$4:$K$503,0)),"")</f>
        <v/>
      </c>
      <c r="B472" s="1" t="str">
        <f>IFERROR(INDEX(Players!$C$4:$C$503,MATCH(469,Players!$K$4:$K$503,0)),"")</f>
        <v/>
      </c>
      <c r="C472" s="1" t="str">
        <f>IFERROR(INDEX(Players!$D$4:$D$503,MATCH(469,Players!$K$4:$K$503,0)),"")</f>
        <v/>
      </c>
      <c r="D472" s="7" t="str">
        <f>IFERROR(INDEX(Players!$E$4:$E$503,MATCH(469,Players!$K$4:$K$503,0)),"")</f>
        <v/>
      </c>
      <c r="E472" s="1" t="str">
        <f>IFERROR(INDEX(Players!$G$4:$G$503,MATCH(469,Players!$K$4:$K$503,0)),"")</f>
        <v/>
      </c>
      <c r="F472" s="7" t="str">
        <f>IFERROR(INDEX(Players!$H$4:$H$503,MATCH(469,Players!$K$4:$K$503,0)),"")</f>
        <v/>
      </c>
      <c r="G472" s="1" t="str">
        <f>IFERROR(INDEX(Players!$I$4:$I$503,MATCH(469,Players!$K$4:$K$503,0)),"")</f>
        <v/>
      </c>
    </row>
    <row r="473" spans="1:7">
      <c r="A473" s="1" t="str">
        <f>IFERROR(INDEX(Players!$B$4:$B$503,MATCH(470,Players!$K$4:$K$503,0)),"")</f>
        <v/>
      </c>
      <c r="B473" s="1" t="str">
        <f>IFERROR(INDEX(Players!$C$4:$C$503,MATCH(470,Players!$K$4:$K$503,0)),"")</f>
        <v/>
      </c>
      <c r="C473" s="1" t="str">
        <f>IFERROR(INDEX(Players!$D$4:$D$503,MATCH(470,Players!$K$4:$K$503,0)),"")</f>
        <v/>
      </c>
      <c r="D473" s="7" t="str">
        <f>IFERROR(INDEX(Players!$E$4:$E$503,MATCH(470,Players!$K$4:$K$503,0)),"")</f>
        <v/>
      </c>
      <c r="E473" s="1" t="str">
        <f>IFERROR(INDEX(Players!$G$4:$G$503,MATCH(470,Players!$K$4:$K$503,0)),"")</f>
        <v/>
      </c>
      <c r="F473" s="7" t="str">
        <f>IFERROR(INDEX(Players!$H$4:$H$503,MATCH(470,Players!$K$4:$K$503,0)),"")</f>
        <v/>
      </c>
      <c r="G473" s="1" t="str">
        <f>IFERROR(INDEX(Players!$I$4:$I$503,MATCH(470,Players!$K$4:$K$503,0)),"")</f>
        <v/>
      </c>
    </row>
    <row r="474" spans="1:7">
      <c r="A474" s="1" t="str">
        <f>IFERROR(INDEX(Players!$B$4:$B$503,MATCH(471,Players!$K$4:$K$503,0)),"")</f>
        <v/>
      </c>
      <c r="B474" s="1" t="str">
        <f>IFERROR(INDEX(Players!$C$4:$C$503,MATCH(471,Players!$K$4:$K$503,0)),"")</f>
        <v/>
      </c>
      <c r="C474" s="1" t="str">
        <f>IFERROR(INDEX(Players!$D$4:$D$503,MATCH(471,Players!$K$4:$K$503,0)),"")</f>
        <v/>
      </c>
      <c r="D474" s="7" t="str">
        <f>IFERROR(INDEX(Players!$E$4:$E$503,MATCH(471,Players!$K$4:$K$503,0)),"")</f>
        <v/>
      </c>
      <c r="E474" s="1" t="str">
        <f>IFERROR(INDEX(Players!$G$4:$G$503,MATCH(471,Players!$K$4:$K$503,0)),"")</f>
        <v/>
      </c>
      <c r="F474" s="7" t="str">
        <f>IFERROR(INDEX(Players!$H$4:$H$503,MATCH(471,Players!$K$4:$K$503,0)),"")</f>
        <v/>
      </c>
      <c r="G474" s="1" t="str">
        <f>IFERROR(INDEX(Players!$I$4:$I$503,MATCH(471,Players!$K$4:$K$503,0)),"")</f>
        <v/>
      </c>
    </row>
    <row r="475" spans="1:7">
      <c r="A475" s="1" t="str">
        <f>IFERROR(INDEX(Players!$B$4:$B$503,MATCH(472,Players!$K$4:$K$503,0)),"")</f>
        <v/>
      </c>
      <c r="B475" s="1" t="str">
        <f>IFERROR(INDEX(Players!$C$4:$C$503,MATCH(472,Players!$K$4:$K$503,0)),"")</f>
        <v/>
      </c>
      <c r="C475" s="1" t="str">
        <f>IFERROR(INDEX(Players!$D$4:$D$503,MATCH(472,Players!$K$4:$K$503,0)),"")</f>
        <v/>
      </c>
      <c r="D475" s="7" t="str">
        <f>IFERROR(INDEX(Players!$E$4:$E$503,MATCH(472,Players!$K$4:$K$503,0)),"")</f>
        <v/>
      </c>
      <c r="E475" s="1" t="str">
        <f>IFERROR(INDEX(Players!$G$4:$G$503,MATCH(472,Players!$K$4:$K$503,0)),"")</f>
        <v/>
      </c>
      <c r="F475" s="7" t="str">
        <f>IFERROR(INDEX(Players!$H$4:$H$503,MATCH(472,Players!$K$4:$K$503,0)),"")</f>
        <v/>
      </c>
      <c r="G475" s="1" t="str">
        <f>IFERROR(INDEX(Players!$I$4:$I$503,MATCH(472,Players!$K$4:$K$503,0)),"")</f>
        <v/>
      </c>
    </row>
    <row r="476" spans="1:7">
      <c r="A476" s="1" t="str">
        <f>IFERROR(INDEX(Players!$B$4:$B$503,MATCH(473,Players!$K$4:$K$503,0)),"")</f>
        <v/>
      </c>
      <c r="B476" s="1" t="str">
        <f>IFERROR(INDEX(Players!$C$4:$C$503,MATCH(473,Players!$K$4:$K$503,0)),"")</f>
        <v/>
      </c>
      <c r="C476" s="1" t="str">
        <f>IFERROR(INDEX(Players!$D$4:$D$503,MATCH(473,Players!$K$4:$K$503,0)),"")</f>
        <v/>
      </c>
      <c r="D476" s="7" t="str">
        <f>IFERROR(INDEX(Players!$E$4:$E$503,MATCH(473,Players!$K$4:$K$503,0)),"")</f>
        <v/>
      </c>
      <c r="E476" s="1" t="str">
        <f>IFERROR(INDEX(Players!$G$4:$G$503,MATCH(473,Players!$K$4:$K$503,0)),"")</f>
        <v/>
      </c>
      <c r="F476" s="7" t="str">
        <f>IFERROR(INDEX(Players!$H$4:$H$503,MATCH(473,Players!$K$4:$K$503,0)),"")</f>
        <v/>
      </c>
      <c r="G476" s="1" t="str">
        <f>IFERROR(INDEX(Players!$I$4:$I$503,MATCH(473,Players!$K$4:$K$503,0)),"")</f>
        <v/>
      </c>
    </row>
    <row r="477" spans="1:7">
      <c r="A477" s="1" t="str">
        <f>IFERROR(INDEX(Players!$B$4:$B$503,MATCH(474,Players!$K$4:$K$503,0)),"")</f>
        <v/>
      </c>
      <c r="B477" s="1" t="str">
        <f>IFERROR(INDEX(Players!$C$4:$C$503,MATCH(474,Players!$K$4:$K$503,0)),"")</f>
        <v/>
      </c>
      <c r="C477" s="1" t="str">
        <f>IFERROR(INDEX(Players!$D$4:$D$503,MATCH(474,Players!$K$4:$K$503,0)),"")</f>
        <v/>
      </c>
      <c r="D477" s="7" t="str">
        <f>IFERROR(INDEX(Players!$E$4:$E$503,MATCH(474,Players!$K$4:$K$503,0)),"")</f>
        <v/>
      </c>
      <c r="E477" s="1" t="str">
        <f>IFERROR(INDEX(Players!$G$4:$G$503,MATCH(474,Players!$K$4:$K$503,0)),"")</f>
        <v/>
      </c>
      <c r="F477" s="7" t="str">
        <f>IFERROR(INDEX(Players!$H$4:$H$503,MATCH(474,Players!$K$4:$K$503,0)),"")</f>
        <v/>
      </c>
      <c r="G477" s="1" t="str">
        <f>IFERROR(INDEX(Players!$I$4:$I$503,MATCH(474,Players!$K$4:$K$503,0)),"")</f>
        <v/>
      </c>
    </row>
    <row r="478" spans="1:7">
      <c r="A478" s="1" t="str">
        <f>IFERROR(INDEX(Players!$B$4:$B$503,MATCH(475,Players!$K$4:$K$503,0)),"")</f>
        <v/>
      </c>
      <c r="B478" s="1" t="str">
        <f>IFERROR(INDEX(Players!$C$4:$C$503,MATCH(475,Players!$K$4:$K$503,0)),"")</f>
        <v/>
      </c>
      <c r="C478" s="1" t="str">
        <f>IFERROR(INDEX(Players!$D$4:$D$503,MATCH(475,Players!$K$4:$K$503,0)),"")</f>
        <v/>
      </c>
      <c r="D478" s="7" t="str">
        <f>IFERROR(INDEX(Players!$E$4:$E$503,MATCH(475,Players!$K$4:$K$503,0)),"")</f>
        <v/>
      </c>
      <c r="E478" s="1" t="str">
        <f>IFERROR(INDEX(Players!$G$4:$G$503,MATCH(475,Players!$K$4:$K$503,0)),"")</f>
        <v/>
      </c>
      <c r="F478" s="7" t="str">
        <f>IFERROR(INDEX(Players!$H$4:$H$503,MATCH(475,Players!$K$4:$K$503,0)),"")</f>
        <v/>
      </c>
      <c r="G478" s="1" t="str">
        <f>IFERROR(INDEX(Players!$I$4:$I$503,MATCH(475,Players!$K$4:$K$503,0)),"")</f>
        <v/>
      </c>
    </row>
    <row r="479" spans="1:7">
      <c r="A479" s="1" t="str">
        <f>IFERROR(INDEX(Players!$B$4:$B$503,MATCH(476,Players!$K$4:$K$503,0)),"")</f>
        <v/>
      </c>
      <c r="B479" s="1" t="str">
        <f>IFERROR(INDEX(Players!$C$4:$C$503,MATCH(476,Players!$K$4:$K$503,0)),"")</f>
        <v/>
      </c>
      <c r="C479" s="1" t="str">
        <f>IFERROR(INDEX(Players!$D$4:$D$503,MATCH(476,Players!$K$4:$K$503,0)),"")</f>
        <v/>
      </c>
      <c r="D479" s="7" t="str">
        <f>IFERROR(INDEX(Players!$E$4:$E$503,MATCH(476,Players!$K$4:$K$503,0)),"")</f>
        <v/>
      </c>
      <c r="E479" s="1" t="str">
        <f>IFERROR(INDEX(Players!$G$4:$G$503,MATCH(476,Players!$K$4:$K$503,0)),"")</f>
        <v/>
      </c>
      <c r="F479" s="7" t="str">
        <f>IFERROR(INDEX(Players!$H$4:$H$503,MATCH(476,Players!$K$4:$K$503,0)),"")</f>
        <v/>
      </c>
      <c r="G479" s="1" t="str">
        <f>IFERROR(INDEX(Players!$I$4:$I$503,MATCH(476,Players!$K$4:$K$503,0)),"")</f>
        <v/>
      </c>
    </row>
    <row r="480" spans="1:7">
      <c r="A480" s="1" t="str">
        <f>IFERROR(INDEX(Players!$B$4:$B$503,MATCH(477,Players!$K$4:$K$503,0)),"")</f>
        <v/>
      </c>
      <c r="B480" s="1" t="str">
        <f>IFERROR(INDEX(Players!$C$4:$C$503,MATCH(477,Players!$K$4:$K$503,0)),"")</f>
        <v/>
      </c>
      <c r="C480" s="1" t="str">
        <f>IFERROR(INDEX(Players!$D$4:$D$503,MATCH(477,Players!$K$4:$K$503,0)),"")</f>
        <v/>
      </c>
      <c r="D480" s="7" t="str">
        <f>IFERROR(INDEX(Players!$E$4:$E$503,MATCH(477,Players!$K$4:$K$503,0)),"")</f>
        <v/>
      </c>
      <c r="E480" s="1" t="str">
        <f>IFERROR(INDEX(Players!$G$4:$G$503,MATCH(477,Players!$K$4:$K$503,0)),"")</f>
        <v/>
      </c>
      <c r="F480" s="7" t="str">
        <f>IFERROR(INDEX(Players!$H$4:$H$503,MATCH(477,Players!$K$4:$K$503,0)),"")</f>
        <v/>
      </c>
      <c r="G480" s="1" t="str">
        <f>IFERROR(INDEX(Players!$I$4:$I$503,MATCH(477,Players!$K$4:$K$503,0)),"")</f>
        <v/>
      </c>
    </row>
    <row r="481" spans="1:7">
      <c r="A481" s="1" t="str">
        <f>IFERROR(INDEX(Players!$B$4:$B$503,MATCH(478,Players!$K$4:$K$503,0)),"")</f>
        <v/>
      </c>
      <c r="B481" s="1" t="str">
        <f>IFERROR(INDEX(Players!$C$4:$C$503,MATCH(478,Players!$K$4:$K$503,0)),"")</f>
        <v/>
      </c>
      <c r="C481" s="1" t="str">
        <f>IFERROR(INDEX(Players!$D$4:$D$503,MATCH(478,Players!$K$4:$K$503,0)),"")</f>
        <v/>
      </c>
      <c r="D481" s="7" t="str">
        <f>IFERROR(INDEX(Players!$E$4:$E$503,MATCH(478,Players!$K$4:$K$503,0)),"")</f>
        <v/>
      </c>
      <c r="E481" s="1" t="str">
        <f>IFERROR(INDEX(Players!$G$4:$G$503,MATCH(478,Players!$K$4:$K$503,0)),"")</f>
        <v/>
      </c>
      <c r="F481" s="7" t="str">
        <f>IFERROR(INDEX(Players!$H$4:$H$503,MATCH(478,Players!$K$4:$K$503,0)),"")</f>
        <v/>
      </c>
      <c r="G481" s="1" t="str">
        <f>IFERROR(INDEX(Players!$I$4:$I$503,MATCH(478,Players!$K$4:$K$503,0)),"")</f>
        <v/>
      </c>
    </row>
    <row r="482" spans="1:7">
      <c r="A482" s="1" t="str">
        <f>IFERROR(INDEX(Players!$B$4:$B$503,MATCH(479,Players!$K$4:$K$503,0)),"")</f>
        <v/>
      </c>
      <c r="B482" s="1" t="str">
        <f>IFERROR(INDEX(Players!$C$4:$C$503,MATCH(479,Players!$K$4:$K$503,0)),"")</f>
        <v/>
      </c>
      <c r="C482" s="1" t="str">
        <f>IFERROR(INDEX(Players!$D$4:$D$503,MATCH(479,Players!$K$4:$K$503,0)),"")</f>
        <v/>
      </c>
      <c r="D482" s="7" t="str">
        <f>IFERROR(INDEX(Players!$E$4:$E$503,MATCH(479,Players!$K$4:$K$503,0)),"")</f>
        <v/>
      </c>
      <c r="E482" s="1" t="str">
        <f>IFERROR(INDEX(Players!$G$4:$G$503,MATCH(479,Players!$K$4:$K$503,0)),"")</f>
        <v/>
      </c>
      <c r="F482" s="7" t="str">
        <f>IFERROR(INDEX(Players!$H$4:$H$503,MATCH(479,Players!$K$4:$K$503,0)),"")</f>
        <v/>
      </c>
      <c r="G482" s="1" t="str">
        <f>IFERROR(INDEX(Players!$I$4:$I$503,MATCH(479,Players!$K$4:$K$503,0)),"")</f>
        <v/>
      </c>
    </row>
    <row r="483" spans="1:7">
      <c r="A483" s="1" t="str">
        <f>IFERROR(INDEX(Players!$B$4:$B$503,MATCH(480,Players!$K$4:$K$503,0)),"")</f>
        <v/>
      </c>
      <c r="B483" s="1" t="str">
        <f>IFERROR(INDEX(Players!$C$4:$C$503,MATCH(480,Players!$K$4:$K$503,0)),"")</f>
        <v/>
      </c>
      <c r="C483" s="1" t="str">
        <f>IFERROR(INDEX(Players!$D$4:$D$503,MATCH(480,Players!$K$4:$K$503,0)),"")</f>
        <v/>
      </c>
      <c r="D483" s="7" t="str">
        <f>IFERROR(INDEX(Players!$E$4:$E$503,MATCH(480,Players!$K$4:$K$503,0)),"")</f>
        <v/>
      </c>
      <c r="E483" s="1" t="str">
        <f>IFERROR(INDEX(Players!$G$4:$G$503,MATCH(480,Players!$K$4:$K$503,0)),"")</f>
        <v/>
      </c>
      <c r="F483" s="7" t="str">
        <f>IFERROR(INDEX(Players!$H$4:$H$503,MATCH(480,Players!$K$4:$K$503,0)),"")</f>
        <v/>
      </c>
      <c r="G483" s="1" t="str">
        <f>IFERROR(INDEX(Players!$I$4:$I$503,MATCH(480,Players!$K$4:$K$503,0)),"")</f>
        <v/>
      </c>
    </row>
    <row r="484" spans="1:7">
      <c r="A484" s="1" t="str">
        <f>IFERROR(INDEX(Players!$B$4:$B$503,MATCH(481,Players!$K$4:$K$503,0)),"")</f>
        <v/>
      </c>
      <c r="B484" s="1" t="str">
        <f>IFERROR(INDEX(Players!$C$4:$C$503,MATCH(481,Players!$K$4:$K$503,0)),"")</f>
        <v/>
      </c>
      <c r="C484" s="1" t="str">
        <f>IFERROR(INDEX(Players!$D$4:$D$503,MATCH(481,Players!$K$4:$K$503,0)),"")</f>
        <v/>
      </c>
      <c r="D484" s="7" t="str">
        <f>IFERROR(INDEX(Players!$E$4:$E$503,MATCH(481,Players!$K$4:$K$503,0)),"")</f>
        <v/>
      </c>
      <c r="E484" s="1" t="str">
        <f>IFERROR(INDEX(Players!$G$4:$G$503,MATCH(481,Players!$K$4:$K$503,0)),"")</f>
        <v/>
      </c>
      <c r="F484" s="7" t="str">
        <f>IFERROR(INDEX(Players!$H$4:$H$503,MATCH(481,Players!$K$4:$K$503,0)),"")</f>
        <v/>
      </c>
      <c r="G484" s="1" t="str">
        <f>IFERROR(INDEX(Players!$I$4:$I$503,MATCH(481,Players!$K$4:$K$503,0)),"")</f>
        <v/>
      </c>
    </row>
    <row r="485" spans="1:7">
      <c r="A485" s="1" t="str">
        <f>IFERROR(INDEX(Players!$B$4:$B$503,MATCH(482,Players!$K$4:$K$503,0)),"")</f>
        <v/>
      </c>
      <c r="B485" s="1" t="str">
        <f>IFERROR(INDEX(Players!$C$4:$C$503,MATCH(482,Players!$K$4:$K$503,0)),"")</f>
        <v/>
      </c>
      <c r="C485" s="1" t="str">
        <f>IFERROR(INDEX(Players!$D$4:$D$503,MATCH(482,Players!$K$4:$K$503,0)),"")</f>
        <v/>
      </c>
      <c r="D485" s="7" t="str">
        <f>IFERROR(INDEX(Players!$E$4:$E$503,MATCH(482,Players!$K$4:$K$503,0)),"")</f>
        <v/>
      </c>
      <c r="E485" s="1" t="str">
        <f>IFERROR(INDEX(Players!$G$4:$G$503,MATCH(482,Players!$K$4:$K$503,0)),"")</f>
        <v/>
      </c>
      <c r="F485" s="7" t="str">
        <f>IFERROR(INDEX(Players!$H$4:$H$503,MATCH(482,Players!$K$4:$K$503,0)),"")</f>
        <v/>
      </c>
      <c r="G485" s="1" t="str">
        <f>IFERROR(INDEX(Players!$I$4:$I$503,MATCH(482,Players!$K$4:$K$503,0)),"")</f>
        <v/>
      </c>
    </row>
    <row r="486" spans="1:7">
      <c r="A486" s="1" t="str">
        <f>IFERROR(INDEX(Players!$B$4:$B$503,MATCH(483,Players!$K$4:$K$503,0)),"")</f>
        <v/>
      </c>
      <c r="B486" s="1" t="str">
        <f>IFERROR(INDEX(Players!$C$4:$C$503,MATCH(483,Players!$K$4:$K$503,0)),"")</f>
        <v/>
      </c>
      <c r="C486" s="1" t="str">
        <f>IFERROR(INDEX(Players!$D$4:$D$503,MATCH(483,Players!$K$4:$K$503,0)),"")</f>
        <v/>
      </c>
      <c r="D486" s="7" t="str">
        <f>IFERROR(INDEX(Players!$E$4:$E$503,MATCH(483,Players!$K$4:$K$503,0)),"")</f>
        <v/>
      </c>
      <c r="E486" s="1" t="str">
        <f>IFERROR(INDEX(Players!$G$4:$G$503,MATCH(483,Players!$K$4:$K$503,0)),"")</f>
        <v/>
      </c>
      <c r="F486" s="7" t="str">
        <f>IFERROR(INDEX(Players!$H$4:$H$503,MATCH(483,Players!$K$4:$K$503,0)),"")</f>
        <v/>
      </c>
      <c r="G486" s="1" t="str">
        <f>IFERROR(INDEX(Players!$I$4:$I$503,MATCH(483,Players!$K$4:$K$503,0)),"")</f>
        <v/>
      </c>
    </row>
    <row r="487" spans="1:7">
      <c r="A487" s="1" t="str">
        <f>IFERROR(INDEX(Players!$B$4:$B$503,MATCH(484,Players!$K$4:$K$503,0)),"")</f>
        <v/>
      </c>
      <c r="B487" s="1" t="str">
        <f>IFERROR(INDEX(Players!$C$4:$C$503,MATCH(484,Players!$K$4:$K$503,0)),"")</f>
        <v/>
      </c>
      <c r="C487" s="1" t="str">
        <f>IFERROR(INDEX(Players!$D$4:$D$503,MATCH(484,Players!$K$4:$K$503,0)),"")</f>
        <v/>
      </c>
      <c r="D487" s="7" t="str">
        <f>IFERROR(INDEX(Players!$E$4:$E$503,MATCH(484,Players!$K$4:$K$503,0)),"")</f>
        <v/>
      </c>
      <c r="E487" s="1" t="str">
        <f>IFERROR(INDEX(Players!$G$4:$G$503,MATCH(484,Players!$K$4:$K$503,0)),"")</f>
        <v/>
      </c>
      <c r="F487" s="7" t="str">
        <f>IFERROR(INDEX(Players!$H$4:$H$503,MATCH(484,Players!$K$4:$K$503,0)),"")</f>
        <v/>
      </c>
      <c r="G487" s="1" t="str">
        <f>IFERROR(INDEX(Players!$I$4:$I$503,MATCH(484,Players!$K$4:$K$503,0)),"")</f>
        <v/>
      </c>
    </row>
    <row r="488" spans="1:7">
      <c r="A488" s="1" t="str">
        <f>IFERROR(INDEX(Players!$B$4:$B$503,MATCH(485,Players!$K$4:$K$503,0)),"")</f>
        <v/>
      </c>
      <c r="B488" s="1" t="str">
        <f>IFERROR(INDEX(Players!$C$4:$C$503,MATCH(485,Players!$K$4:$K$503,0)),"")</f>
        <v/>
      </c>
      <c r="C488" s="1" t="str">
        <f>IFERROR(INDEX(Players!$D$4:$D$503,MATCH(485,Players!$K$4:$K$503,0)),"")</f>
        <v/>
      </c>
      <c r="D488" s="7" t="str">
        <f>IFERROR(INDEX(Players!$E$4:$E$503,MATCH(485,Players!$K$4:$K$503,0)),"")</f>
        <v/>
      </c>
      <c r="E488" s="1" t="str">
        <f>IFERROR(INDEX(Players!$G$4:$G$503,MATCH(485,Players!$K$4:$K$503,0)),"")</f>
        <v/>
      </c>
      <c r="F488" s="7" t="str">
        <f>IFERROR(INDEX(Players!$H$4:$H$503,MATCH(485,Players!$K$4:$K$503,0)),"")</f>
        <v/>
      </c>
      <c r="G488" s="1" t="str">
        <f>IFERROR(INDEX(Players!$I$4:$I$503,MATCH(485,Players!$K$4:$K$503,0)),"")</f>
        <v/>
      </c>
    </row>
    <row r="489" spans="1:7">
      <c r="A489" s="1" t="str">
        <f>IFERROR(INDEX(Players!$B$4:$B$503,MATCH(486,Players!$K$4:$K$503,0)),"")</f>
        <v/>
      </c>
      <c r="B489" s="1" t="str">
        <f>IFERROR(INDEX(Players!$C$4:$C$503,MATCH(486,Players!$K$4:$K$503,0)),"")</f>
        <v/>
      </c>
      <c r="C489" s="1" t="str">
        <f>IFERROR(INDEX(Players!$D$4:$D$503,MATCH(486,Players!$K$4:$K$503,0)),"")</f>
        <v/>
      </c>
      <c r="D489" s="7" t="str">
        <f>IFERROR(INDEX(Players!$E$4:$E$503,MATCH(486,Players!$K$4:$K$503,0)),"")</f>
        <v/>
      </c>
      <c r="E489" s="1" t="str">
        <f>IFERROR(INDEX(Players!$G$4:$G$503,MATCH(486,Players!$K$4:$K$503,0)),"")</f>
        <v/>
      </c>
      <c r="F489" s="7" t="str">
        <f>IFERROR(INDEX(Players!$H$4:$H$503,MATCH(486,Players!$K$4:$K$503,0)),"")</f>
        <v/>
      </c>
      <c r="G489" s="1" t="str">
        <f>IFERROR(INDEX(Players!$I$4:$I$503,MATCH(486,Players!$K$4:$K$503,0)),"")</f>
        <v/>
      </c>
    </row>
    <row r="490" spans="1:7">
      <c r="A490" s="1" t="str">
        <f>IFERROR(INDEX(Players!$B$4:$B$503,MATCH(487,Players!$K$4:$K$503,0)),"")</f>
        <v/>
      </c>
      <c r="B490" s="1" t="str">
        <f>IFERROR(INDEX(Players!$C$4:$C$503,MATCH(487,Players!$K$4:$K$503,0)),"")</f>
        <v/>
      </c>
      <c r="C490" s="1" t="str">
        <f>IFERROR(INDEX(Players!$D$4:$D$503,MATCH(487,Players!$K$4:$K$503,0)),"")</f>
        <v/>
      </c>
      <c r="D490" s="7" t="str">
        <f>IFERROR(INDEX(Players!$E$4:$E$503,MATCH(487,Players!$K$4:$K$503,0)),"")</f>
        <v/>
      </c>
      <c r="E490" s="1" t="str">
        <f>IFERROR(INDEX(Players!$G$4:$G$503,MATCH(487,Players!$K$4:$K$503,0)),"")</f>
        <v/>
      </c>
      <c r="F490" s="7" t="str">
        <f>IFERROR(INDEX(Players!$H$4:$H$503,MATCH(487,Players!$K$4:$K$503,0)),"")</f>
        <v/>
      </c>
      <c r="G490" s="1" t="str">
        <f>IFERROR(INDEX(Players!$I$4:$I$503,MATCH(487,Players!$K$4:$K$503,0)),"")</f>
        <v/>
      </c>
    </row>
    <row r="491" spans="1:7">
      <c r="A491" s="1" t="str">
        <f>IFERROR(INDEX(Players!$B$4:$B$503,MATCH(488,Players!$K$4:$K$503,0)),"")</f>
        <v/>
      </c>
      <c r="B491" s="1" t="str">
        <f>IFERROR(INDEX(Players!$C$4:$C$503,MATCH(488,Players!$K$4:$K$503,0)),"")</f>
        <v/>
      </c>
      <c r="C491" s="1" t="str">
        <f>IFERROR(INDEX(Players!$D$4:$D$503,MATCH(488,Players!$K$4:$K$503,0)),"")</f>
        <v/>
      </c>
      <c r="D491" s="7" t="str">
        <f>IFERROR(INDEX(Players!$E$4:$E$503,MATCH(488,Players!$K$4:$K$503,0)),"")</f>
        <v/>
      </c>
      <c r="E491" s="1" t="str">
        <f>IFERROR(INDEX(Players!$G$4:$G$503,MATCH(488,Players!$K$4:$K$503,0)),"")</f>
        <v/>
      </c>
      <c r="F491" s="7" t="str">
        <f>IFERROR(INDEX(Players!$H$4:$H$503,MATCH(488,Players!$K$4:$K$503,0)),"")</f>
        <v/>
      </c>
      <c r="G491" s="1" t="str">
        <f>IFERROR(INDEX(Players!$I$4:$I$503,MATCH(488,Players!$K$4:$K$503,0)),"")</f>
        <v/>
      </c>
    </row>
    <row r="492" spans="1:7">
      <c r="A492" s="1" t="str">
        <f>IFERROR(INDEX(Players!$B$4:$B$503,MATCH(489,Players!$K$4:$K$503,0)),"")</f>
        <v/>
      </c>
      <c r="B492" s="1" t="str">
        <f>IFERROR(INDEX(Players!$C$4:$C$503,MATCH(489,Players!$K$4:$K$503,0)),"")</f>
        <v/>
      </c>
      <c r="C492" s="1" t="str">
        <f>IFERROR(INDEX(Players!$D$4:$D$503,MATCH(489,Players!$K$4:$K$503,0)),"")</f>
        <v/>
      </c>
      <c r="D492" s="7" t="str">
        <f>IFERROR(INDEX(Players!$E$4:$E$503,MATCH(489,Players!$K$4:$K$503,0)),"")</f>
        <v/>
      </c>
      <c r="E492" s="1" t="str">
        <f>IFERROR(INDEX(Players!$G$4:$G$503,MATCH(489,Players!$K$4:$K$503,0)),"")</f>
        <v/>
      </c>
      <c r="F492" s="7" t="str">
        <f>IFERROR(INDEX(Players!$H$4:$H$503,MATCH(489,Players!$K$4:$K$503,0)),"")</f>
        <v/>
      </c>
      <c r="G492" s="1" t="str">
        <f>IFERROR(INDEX(Players!$I$4:$I$503,MATCH(489,Players!$K$4:$K$503,0)),"")</f>
        <v/>
      </c>
    </row>
    <row r="493" spans="1:7">
      <c r="A493" s="1" t="str">
        <f>IFERROR(INDEX(Players!$B$4:$B$503,MATCH(490,Players!$K$4:$K$503,0)),"")</f>
        <v/>
      </c>
      <c r="B493" s="1" t="str">
        <f>IFERROR(INDEX(Players!$C$4:$C$503,MATCH(490,Players!$K$4:$K$503,0)),"")</f>
        <v/>
      </c>
      <c r="C493" s="1" t="str">
        <f>IFERROR(INDEX(Players!$D$4:$D$503,MATCH(490,Players!$K$4:$K$503,0)),"")</f>
        <v/>
      </c>
      <c r="D493" s="7" t="str">
        <f>IFERROR(INDEX(Players!$E$4:$E$503,MATCH(490,Players!$K$4:$K$503,0)),"")</f>
        <v/>
      </c>
      <c r="E493" s="1" t="str">
        <f>IFERROR(INDEX(Players!$G$4:$G$503,MATCH(490,Players!$K$4:$K$503,0)),"")</f>
        <v/>
      </c>
      <c r="F493" s="7" t="str">
        <f>IFERROR(INDEX(Players!$H$4:$H$503,MATCH(490,Players!$K$4:$K$503,0)),"")</f>
        <v/>
      </c>
      <c r="G493" s="1" t="str">
        <f>IFERROR(INDEX(Players!$I$4:$I$503,MATCH(490,Players!$K$4:$K$503,0)),"")</f>
        <v/>
      </c>
    </row>
    <row r="494" spans="1:7">
      <c r="A494" s="1" t="str">
        <f>IFERROR(INDEX(Players!$B$4:$B$503,MATCH(491,Players!$K$4:$K$503,0)),"")</f>
        <v/>
      </c>
      <c r="B494" s="1" t="str">
        <f>IFERROR(INDEX(Players!$C$4:$C$503,MATCH(491,Players!$K$4:$K$503,0)),"")</f>
        <v/>
      </c>
      <c r="C494" s="1" t="str">
        <f>IFERROR(INDEX(Players!$D$4:$D$503,MATCH(491,Players!$K$4:$K$503,0)),"")</f>
        <v/>
      </c>
      <c r="D494" s="7" t="str">
        <f>IFERROR(INDEX(Players!$E$4:$E$503,MATCH(491,Players!$K$4:$K$503,0)),"")</f>
        <v/>
      </c>
      <c r="E494" s="1" t="str">
        <f>IFERROR(INDEX(Players!$G$4:$G$503,MATCH(491,Players!$K$4:$K$503,0)),"")</f>
        <v/>
      </c>
      <c r="F494" s="7" t="str">
        <f>IFERROR(INDEX(Players!$H$4:$H$503,MATCH(491,Players!$K$4:$K$503,0)),"")</f>
        <v/>
      </c>
      <c r="G494" s="1" t="str">
        <f>IFERROR(INDEX(Players!$I$4:$I$503,MATCH(491,Players!$K$4:$K$503,0)),"")</f>
        <v/>
      </c>
    </row>
    <row r="495" spans="1:7">
      <c r="A495" s="1" t="str">
        <f>IFERROR(INDEX(Players!$B$4:$B$503,MATCH(492,Players!$K$4:$K$503,0)),"")</f>
        <v/>
      </c>
      <c r="B495" s="1" t="str">
        <f>IFERROR(INDEX(Players!$C$4:$C$503,MATCH(492,Players!$K$4:$K$503,0)),"")</f>
        <v/>
      </c>
      <c r="C495" s="1" t="str">
        <f>IFERROR(INDEX(Players!$D$4:$D$503,MATCH(492,Players!$K$4:$K$503,0)),"")</f>
        <v/>
      </c>
      <c r="D495" s="7" t="str">
        <f>IFERROR(INDEX(Players!$E$4:$E$503,MATCH(492,Players!$K$4:$K$503,0)),"")</f>
        <v/>
      </c>
      <c r="E495" s="1" t="str">
        <f>IFERROR(INDEX(Players!$G$4:$G$503,MATCH(492,Players!$K$4:$K$503,0)),"")</f>
        <v/>
      </c>
      <c r="F495" s="7" t="str">
        <f>IFERROR(INDEX(Players!$H$4:$H$503,MATCH(492,Players!$K$4:$K$503,0)),"")</f>
        <v/>
      </c>
      <c r="G495" s="1" t="str">
        <f>IFERROR(INDEX(Players!$I$4:$I$503,MATCH(492,Players!$K$4:$K$503,0)),"")</f>
        <v/>
      </c>
    </row>
    <row r="496" spans="1:7">
      <c r="A496" s="1" t="str">
        <f>IFERROR(INDEX(Players!$B$4:$B$503,MATCH(493,Players!$K$4:$K$503,0)),"")</f>
        <v/>
      </c>
      <c r="B496" s="1" t="str">
        <f>IFERROR(INDEX(Players!$C$4:$C$503,MATCH(493,Players!$K$4:$K$503,0)),"")</f>
        <v/>
      </c>
      <c r="C496" s="1" t="str">
        <f>IFERROR(INDEX(Players!$D$4:$D$503,MATCH(493,Players!$K$4:$K$503,0)),"")</f>
        <v/>
      </c>
      <c r="D496" s="7" t="str">
        <f>IFERROR(INDEX(Players!$E$4:$E$503,MATCH(493,Players!$K$4:$K$503,0)),"")</f>
        <v/>
      </c>
      <c r="E496" s="1" t="str">
        <f>IFERROR(INDEX(Players!$G$4:$G$503,MATCH(493,Players!$K$4:$K$503,0)),"")</f>
        <v/>
      </c>
      <c r="F496" s="7" t="str">
        <f>IFERROR(INDEX(Players!$H$4:$H$503,MATCH(493,Players!$K$4:$K$503,0)),"")</f>
        <v/>
      </c>
      <c r="G496" s="1" t="str">
        <f>IFERROR(INDEX(Players!$I$4:$I$503,MATCH(493,Players!$K$4:$K$503,0)),"")</f>
        <v/>
      </c>
    </row>
    <row r="497" spans="1:7">
      <c r="A497" s="1" t="str">
        <f>IFERROR(INDEX(Players!$B$4:$B$503,MATCH(494,Players!$K$4:$K$503,0)),"")</f>
        <v/>
      </c>
      <c r="B497" s="1" t="str">
        <f>IFERROR(INDEX(Players!$C$4:$C$503,MATCH(494,Players!$K$4:$K$503,0)),"")</f>
        <v/>
      </c>
      <c r="C497" s="1" t="str">
        <f>IFERROR(INDEX(Players!$D$4:$D$503,MATCH(494,Players!$K$4:$K$503,0)),"")</f>
        <v/>
      </c>
      <c r="D497" s="7" t="str">
        <f>IFERROR(INDEX(Players!$E$4:$E$503,MATCH(494,Players!$K$4:$K$503,0)),"")</f>
        <v/>
      </c>
      <c r="E497" s="1" t="str">
        <f>IFERROR(INDEX(Players!$G$4:$G$503,MATCH(494,Players!$K$4:$K$503,0)),"")</f>
        <v/>
      </c>
      <c r="F497" s="7" t="str">
        <f>IFERROR(INDEX(Players!$H$4:$H$503,MATCH(494,Players!$K$4:$K$503,0)),"")</f>
        <v/>
      </c>
      <c r="G497" s="1" t="str">
        <f>IFERROR(INDEX(Players!$I$4:$I$503,MATCH(494,Players!$K$4:$K$503,0)),"")</f>
        <v/>
      </c>
    </row>
    <row r="498" spans="1:7">
      <c r="A498" s="1" t="str">
        <f>IFERROR(INDEX(Players!$B$4:$B$503,MATCH(495,Players!$K$4:$K$503,0)),"")</f>
        <v/>
      </c>
      <c r="B498" s="1" t="str">
        <f>IFERROR(INDEX(Players!$C$4:$C$503,MATCH(495,Players!$K$4:$K$503,0)),"")</f>
        <v/>
      </c>
      <c r="C498" s="1" t="str">
        <f>IFERROR(INDEX(Players!$D$4:$D$503,MATCH(495,Players!$K$4:$K$503,0)),"")</f>
        <v/>
      </c>
      <c r="D498" s="7" t="str">
        <f>IFERROR(INDEX(Players!$E$4:$E$503,MATCH(495,Players!$K$4:$K$503,0)),"")</f>
        <v/>
      </c>
      <c r="E498" s="1" t="str">
        <f>IFERROR(INDEX(Players!$G$4:$G$503,MATCH(495,Players!$K$4:$K$503,0)),"")</f>
        <v/>
      </c>
      <c r="F498" s="7" t="str">
        <f>IFERROR(INDEX(Players!$H$4:$H$503,MATCH(495,Players!$K$4:$K$503,0)),"")</f>
        <v/>
      </c>
      <c r="G498" s="1" t="str">
        <f>IFERROR(INDEX(Players!$I$4:$I$503,MATCH(495,Players!$K$4:$K$503,0)),"")</f>
        <v/>
      </c>
    </row>
    <row r="499" spans="1:7">
      <c r="A499" s="1" t="str">
        <f>IFERROR(INDEX(Players!$B$4:$B$503,MATCH(496,Players!$K$4:$K$503,0)),"")</f>
        <v/>
      </c>
      <c r="B499" s="1" t="str">
        <f>IFERROR(INDEX(Players!$C$4:$C$503,MATCH(496,Players!$K$4:$K$503,0)),"")</f>
        <v/>
      </c>
      <c r="C499" s="1" t="str">
        <f>IFERROR(INDEX(Players!$D$4:$D$503,MATCH(496,Players!$K$4:$K$503,0)),"")</f>
        <v/>
      </c>
      <c r="D499" s="7" t="str">
        <f>IFERROR(INDEX(Players!$E$4:$E$503,MATCH(496,Players!$K$4:$K$503,0)),"")</f>
        <v/>
      </c>
      <c r="E499" s="1" t="str">
        <f>IFERROR(INDEX(Players!$G$4:$G$503,MATCH(496,Players!$K$4:$K$503,0)),"")</f>
        <v/>
      </c>
      <c r="F499" s="7" t="str">
        <f>IFERROR(INDEX(Players!$H$4:$H$503,MATCH(496,Players!$K$4:$K$503,0)),"")</f>
        <v/>
      </c>
      <c r="G499" s="1" t="str">
        <f>IFERROR(INDEX(Players!$I$4:$I$503,MATCH(496,Players!$K$4:$K$503,0)),"")</f>
        <v/>
      </c>
    </row>
    <row r="500" spans="1:7">
      <c r="A500" s="1" t="str">
        <f>IFERROR(INDEX(Players!$B$4:$B$503,MATCH(497,Players!$K$4:$K$503,0)),"")</f>
        <v/>
      </c>
      <c r="B500" s="1" t="str">
        <f>IFERROR(INDEX(Players!$C$4:$C$503,MATCH(497,Players!$K$4:$K$503,0)),"")</f>
        <v/>
      </c>
      <c r="C500" s="1" t="str">
        <f>IFERROR(INDEX(Players!$D$4:$D$503,MATCH(497,Players!$K$4:$K$503,0)),"")</f>
        <v/>
      </c>
      <c r="D500" s="7" t="str">
        <f>IFERROR(INDEX(Players!$E$4:$E$503,MATCH(497,Players!$K$4:$K$503,0)),"")</f>
        <v/>
      </c>
      <c r="E500" s="1" t="str">
        <f>IFERROR(INDEX(Players!$G$4:$G$503,MATCH(497,Players!$K$4:$K$503,0)),"")</f>
        <v/>
      </c>
      <c r="F500" s="7" t="str">
        <f>IFERROR(INDEX(Players!$H$4:$H$503,MATCH(497,Players!$K$4:$K$503,0)),"")</f>
        <v/>
      </c>
      <c r="G500" s="1" t="str">
        <f>IFERROR(INDEX(Players!$I$4:$I$503,MATCH(497,Players!$K$4:$K$503,0)),"")</f>
        <v/>
      </c>
    </row>
    <row r="501" spans="1:7">
      <c r="A501" s="1" t="str">
        <f>IFERROR(INDEX(Players!$B$4:$B$503,MATCH(498,Players!$K$4:$K$503,0)),"")</f>
        <v/>
      </c>
      <c r="B501" s="1" t="str">
        <f>IFERROR(INDEX(Players!$C$4:$C$503,MATCH(498,Players!$K$4:$K$503,0)),"")</f>
        <v/>
      </c>
      <c r="C501" s="1" t="str">
        <f>IFERROR(INDEX(Players!$D$4:$D$503,MATCH(498,Players!$K$4:$K$503,0)),"")</f>
        <v/>
      </c>
      <c r="D501" s="7" t="str">
        <f>IFERROR(INDEX(Players!$E$4:$E$503,MATCH(498,Players!$K$4:$K$503,0)),"")</f>
        <v/>
      </c>
      <c r="E501" s="1" t="str">
        <f>IFERROR(INDEX(Players!$G$4:$G$503,MATCH(498,Players!$K$4:$K$503,0)),"")</f>
        <v/>
      </c>
      <c r="F501" s="7" t="str">
        <f>IFERROR(INDEX(Players!$H$4:$H$503,MATCH(498,Players!$K$4:$K$503,0)),"")</f>
        <v/>
      </c>
      <c r="G501" s="1" t="str">
        <f>IFERROR(INDEX(Players!$I$4:$I$503,MATCH(498,Players!$K$4:$K$503,0)),"")</f>
        <v/>
      </c>
    </row>
    <row r="502" spans="1:7">
      <c r="A502" s="1" t="str">
        <f>IFERROR(INDEX(Players!$B$4:$B$503,MATCH(499,Players!$K$4:$K$503,0)),"")</f>
        <v/>
      </c>
      <c r="B502" s="1" t="str">
        <f>IFERROR(INDEX(Players!$C$4:$C$503,MATCH(499,Players!$K$4:$K$503,0)),"")</f>
        <v/>
      </c>
      <c r="C502" s="1" t="str">
        <f>IFERROR(INDEX(Players!$D$4:$D$503,MATCH(499,Players!$K$4:$K$503,0)),"")</f>
        <v/>
      </c>
      <c r="D502" s="7" t="str">
        <f>IFERROR(INDEX(Players!$E$4:$E$503,MATCH(499,Players!$K$4:$K$503,0)),"")</f>
        <v/>
      </c>
      <c r="E502" s="1" t="str">
        <f>IFERROR(INDEX(Players!$G$4:$G$503,MATCH(499,Players!$K$4:$K$503,0)),"")</f>
        <v/>
      </c>
      <c r="F502" s="7" t="str">
        <f>IFERROR(INDEX(Players!$H$4:$H$503,MATCH(499,Players!$K$4:$K$503,0)),"")</f>
        <v/>
      </c>
      <c r="G502" s="1" t="str">
        <f>IFERROR(INDEX(Players!$I$4:$I$503,MATCH(499,Players!$K$4:$K$503,0)),"")</f>
        <v/>
      </c>
    </row>
    <row r="503" spans="1:7">
      <c r="A503" s="1" t="str">
        <f>IFERROR(INDEX(Players!$B$4:$B$503,MATCH(500,Players!$K$4:$K$503,0)),"")</f>
        <v/>
      </c>
      <c r="B503" s="1" t="str">
        <f>IFERROR(INDEX(Players!$C$4:$C$503,MATCH(500,Players!$K$4:$K$503,0)),"")</f>
        <v/>
      </c>
      <c r="C503" s="1" t="str">
        <f>IFERROR(INDEX(Players!$D$4:$D$503,MATCH(500,Players!$K$4:$K$503,0)),"")</f>
        <v/>
      </c>
      <c r="D503" s="7" t="str">
        <f>IFERROR(INDEX(Players!$E$4:$E$503,MATCH(500,Players!$K$4:$K$503,0)),"")</f>
        <v/>
      </c>
      <c r="E503" s="1" t="str">
        <f>IFERROR(INDEX(Players!$G$4:$G$503,MATCH(500,Players!$K$4:$K$503,0)),"")</f>
        <v/>
      </c>
      <c r="F503" s="7" t="str">
        <f>IFERROR(INDEX(Players!$H$4:$H$503,MATCH(500,Players!$K$4:$K$503,0)),"")</f>
        <v/>
      </c>
      <c r="G503" s="1" t="str">
        <f>IFERROR(INDEX(Players!$I$4:$I$503,MATCH(500,Players!$K$4:$K$503,0)),"")</f>
        <v/>
      </c>
    </row>
  </sheetData>
  <mergeCells count="1"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03"/>
  <sheetViews>
    <sheetView showGridLines="0" workbookViewId="0">
      <selection sqref="A1:F1"/>
    </sheetView>
  </sheetViews>
  <sheetFormatPr defaultRowHeight="15"/>
  <cols>
    <col min="1" max="1" width="25" customWidth="1"/>
    <col min="2" max="2" width="18" customWidth="1"/>
    <col min="3" max="3" width="15" customWidth="1"/>
    <col min="4" max="4" width="18" customWidth="1"/>
    <col min="5" max="5" width="15" customWidth="1"/>
    <col min="6" max="6" width="30" customWidth="1"/>
  </cols>
  <sheetData>
    <row r="1" spans="1:6" ht="33.950000000000003" customHeight="1">
      <c r="A1" s="15" t="s">
        <v>4</v>
      </c>
      <c r="B1" s="16"/>
      <c r="C1" s="16"/>
      <c r="D1" s="16"/>
      <c r="E1" s="16"/>
      <c r="F1" s="16"/>
    </row>
    <row r="2" spans="1:6">
      <c r="A2" s="1"/>
      <c r="B2" s="1"/>
      <c r="C2" s="1"/>
      <c r="D2" s="1"/>
      <c r="E2" s="1"/>
      <c r="F2" s="1"/>
    </row>
    <row r="3" spans="1:6">
      <c r="A3" s="6" t="s">
        <v>30</v>
      </c>
      <c r="B3" s="6" t="s">
        <v>31</v>
      </c>
      <c r="C3" s="6" t="s">
        <v>32</v>
      </c>
      <c r="D3" s="6" t="s">
        <v>54</v>
      </c>
      <c r="E3" s="6" t="s">
        <v>21</v>
      </c>
      <c r="F3" s="6" t="s">
        <v>36</v>
      </c>
    </row>
    <row r="4" spans="1:6">
      <c r="A4" s="1" t="str">
        <f>IFERROR(INDEX(Players!$B$4:$B$503,MATCH(1,Players!$L$4:$L$503,0)),"")</f>
        <v>Amit Yadav</v>
      </c>
      <c r="B4" s="1" t="str">
        <f>IFERROR(INDEX(Players!$C$4:$C$503,MATCH(1,Players!$L$4:$L$503,0)),"")</f>
        <v>Bowler</v>
      </c>
      <c r="C4" s="1" t="str">
        <f>IFERROR(INDEX(Players!$D$4:$D$503,MATCH(1,Players!$L$4:$L$503,0)),"")</f>
        <v>B</v>
      </c>
      <c r="D4" s="7">
        <f>IFERROR(INDEX(Players!$E$4:$E$503,MATCH(1,Players!$L$4:$L$503,0)),"")</f>
        <v>3000</v>
      </c>
      <c r="E4" s="1" t="str">
        <f>IFERROR(INDEX(Players!$F$4:$F$503,MATCH(1,Players!$L$4:$L$503,0)),"")</f>
        <v>UNSOLD</v>
      </c>
      <c r="F4" s="1">
        <f>IFERROR(INDEX(Players!$I$4:$I$503,MATCH(1,Players!$L$4:$L$503,0)),"")</f>
        <v>0</v>
      </c>
    </row>
    <row r="5" spans="1:6">
      <c r="A5" s="1" t="str">
        <f>IFERROR(INDEX(Players!$B$4:$B$503,MATCH(2,Players!$L$4:$L$503,0)),"")</f>
        <v/>
      </c>
      <c r="B5" s="1" t="str">
        <f>IFERROR(INDEX(Players!$C$4:$C$503,MATCH(2,Players!$L$4:$L$503,0)),"")</f>
        <v/>
      </c>
      <c r="C5" s="1" t="str">
        <f>IFERROR(INDEX(Players!$D$4:$D$503,MATCH(2,Players!$L$4:$L$503,0)),"")</f>
        <v/>
      </c>
      <c r="D5" s="7" t="str">
        <f>IFERROR(INDEX(Players!$E$4:$E$503,MATCH(2,Players!$L$4:$L$503,0)),"")</f>
        <v/>
      </c>
      <c r="E5" s="1" t="str">
        <f>IFERROR(INDEX(Players!$F$4:$F$503,MATCH(2,Players!$L$4:$L$503,0)),"")</f>
        <v/>
      </c>
      <c r="F5" s="1" t="str">
        <f>IFERROR(INDEX(Players!$I$4:$I$503,MATCH(2,Players!$L$4:$L$503,0)),"")</f>
        <v/>
      </c>
    </row>
    <row r="6" spans="1:6">
      <c r="A6" s="1" t="str">
        <f>IFERROR(INDEX(Players!$B$4:$B$503,MATCH(3,Players!$L$4:$L$503,0)),"")</f>
        <v/>
      </c>
      <c r="B6" s="1" t="str">
        <f>IFERROR(INDEX(Players!$C$4:$C$503,MATCH(3,Players!$L$4:$L$503,0)),"")</f>
        <v/>
      </c>
      <c r="C6" s="1" t="str">
        <f>IFERROR(INDEX(Players!$D$4:$D$503,MATCH(3,Players!$L$4:$L$503,0)),"")</f>
        <v/>
      </c>
      <c r="D6" s="7" t="str">
        <f>IFERROR(INDEX(Players!$E$4:$E$503,MATCH(3,Players!$L$4:$L$503,0)),"")</f>
        <v/>
      </c>
      <c r="E6" s="1" t="str">
        <f>IFERROR(INDEX(Players!$F$4:$F$503,MATCH(3,Players!$L$4:$L$503,0)),"")</f>
        <v/>
      </c>
      <c r="F6" s="1" t="str">
        <f>IFERROR(INDEX(Players!$I$4:$I$503,MATCH(3,Players!$L$4:$L$503,0)),"")</f>
        <v/>
      </c>
    </row>
    <row r="7" spans="1:6">
      <c r="A7" s="1" t="str">
        <f>IFERROR(INDEX(Players!$B$4:$B$503,MATCH(4,Players!$L$4:$L$503,0)),"")</f>
        <v/>
      </c>
      <c r="B7" s="1" t="str">
        <f>IFERROR(INDEX(Players!$C$4:$C$503,MATCH(4,Players!$L$4:$L$503,0)),"")</f>
        <v/>
      </c>
      <c r="C7" s="1" t="str">
        <f>IFERROR(INDEX(Players!$D$4:$D$503,MATCH(4,Players!$L$4:$L$503,0)),"")</f>
        <v/>
      </c>
      <c r="D7" s="7" t="str">
        <f>IFERROR(INDEX(Players!$E$4:$E$503,MATCH(4,Players!$L$4:$L$503,0)),"")</f>
        <v/>
      </c>
      <c r="E7" s="1" t="str">
        <f>IFERROR(INDEX(Players!$F$4:$F$503,MATCH(4,Players!$L$4:$L$503,0)),"")</f>
        <v/>
      </c>
      <c r="F7" s="1" t="str">
        <f>IFERROR(INDEX(Players!$I$4:$I$503,MATCH(4,Players!$L$4:$L$503,0)),"")</f>
        <v/>
      </c>
    </row>
    <row r="8" spans="1:6">
      <c r="A8" s="1" t="str">
        <f>IFERROR(INDEX(Players!$B$4:$B$503,MATCH(5,Players!$L$4:$L$503,0)),"")</f>
        <v/>
      </c>
      <c r="B8" s="1" t="str">
        <f>IFERROR(INDEX(Players!$C$4:$C$503,MATCH(5,Players!$L$4:$L$503,0)),"")</f>
        <v/>
      </c>
      <c r="C8" s="1" t="str">
        <f>IFERROR(INDEX(Players!$D$4:$D$503,MATCH(5,Players!$L$4:$L$503,0)),"")</f>
        <v/>
      </c>
      <c r="D8" s="7" t="str">
        <f>IFERROR(INDEX(Players!$E$4:$E$503,MATCH(5,Players!$L$4:$L$503,0)),"")</f>
        <v/>
      </c>
      <c r="E8" s="1" t="str">
        <f>IFERROR(INDEX(Players!$F$4:$F$503,MATCH(5,Players!$L$4:$L$503,0)),"")</f>
        <v/>
      </c>
      <c r="F8" s="1" t="str">
        <f>IFERROR(INDEX(Players!$I$4:$I$503,MATCH(5,Players!$L$4:$L$503,0)),"")</f>
        <v/>
      </c>
    </row>
    <row r="9" spans="1:6">
      <c r="A9" s="1" t="str">
        <f>IFERROR(INDEX(Players!$B$4:$B$503,MATCH(6,Players!$L$4:$L$503,0)),"")</f>
        <v/>
      </c>
      <c r="B9" s="1" t="str">
        <f>IFERROR(INDEX(Players!$C$4:$C$503,MATCH(6,Players!$L$4:$L$503,0)),"")</f>
        <v/>
      </c>
      <c r="C9" s="1" t="str">
        <f>IFERROR(INDEX(Players!$D$4:$D$503,MATCH(6,Players!$L$4:$L$503,0)),"")</f>
        <v/>
      </c>
      <c r="D9" s="7" t="str">
        <f>IFERROR(INDEX(Players!$E$4:$E$503,MATCH(6,Players!$L$4:$L$503,0)),"")</f>
        <v/>
      </c>
      <c r="E9" s="1" t="str">
        <f>IFERROR(INDEX(Players!$F$4:$F$503,MATCH(6,Players!$L$4:$L$503,0)),"")</f>
        <v/>
      </c>
      <c r="F9" s="1" t="str">
        <f>IFERROR(INDEX(Players!$I$4:$I$503,MATCH(6,Players!$L$4:$L$503,0)),"")</f>
        <v/>
      </c>
    </row>
    <row r="10" spans="1:6">
      <c r="A10" s="1" t="str">
        <f>IFERROR(INDEX(Players!$B$4:$B$503,MATCH(7,Players!$L$4:$L$503,0)),"")</f>
        <v/>
      </c>
      <c r="B10" s="1" t="str">
        <f>IFERROR(INDEX(Players!$C$4:$C$503,MATCH(7,Players!$L$4:$L$503,0)),"")</f>
        <v/>
      </c>
      <c r="C10" s="1" t="str">
        <f>IFERROR(INDEX(Players!$D$4:$D$503,MATCH(7,Players!$L$4:$L$503,0)),"")</f>
        <v/>
      </c>
      <c r="D10" s="7" t="str">
        <f>IFERROR(INDEX(Players!$E$4:$E$503,MATCH(7,Players!$L$4:$L$503,0)),"")</f>
        <v/>
      </c>
      <c r="E10" s="1" t="str">
        <f>IFERROR(INDEX(Players!$F$4:$F$503,MATCH(7,Players!$L$4:$L$503,0)),"")</f>
        <v/>
      </c>
      <c r="F10" s="1" t="str">
        <f>IFERROR(INDEX(Players!$I$4:$I$503,MATCH(7,Players!$L$4:$L$503,0)),"")</f>
        <v/>
      </c>
    </row>
    <row r="11" spans="1:6">
      <c r="A11" s="1" t="str">
        <f>IFERROR(INDEX(Players!$B$4:$B$503,MATCH(8,Players!$L$4:$L$503,0)),"")</f>
        <v/>
      </c>
      <c r="B11" s="1" t="str">
        <f>IFERROR(INDEX(Players!$C$4:$C$503,MATCH(8,Players!$L$4:$L$503,0)),"")</f>
        <v/>
      </c>
      <c r="C11" s="1" t="str">
        <f>IFERROR(INDEX(Players!$D$4:$D$503,MATCH(8,Players!$L$4:$L$503,0)),"")</f>
        <v/>
      </c>
      <c r="D11" s="7" t="str">
        <f>IFERROR(INDEX(Players!$E$4:$E$503,MATCH(8,Players!$L$4:$L$503,0)),"")</f>
        <v/>
      </c>
      <c r="E11" s="1" t="str">
        <f>IFERROR(INDEX(Players!$F$4:$F$503,MATCH(8,Players!$L$4:$L$503,0)),"")</f>
        <v/>
      </c>
      <c r="F11" s="1" t="str">
        <f>IFERROR(INDEX(Players!$I$4:$I$503,MATCH(8,Players!$L$4:$L$503,0)),"")</f>
        <v/>
      </c>
    </row>
    <row r="12" spans="1:6">
      <c r="A12" s="1" t="str">
        <f>IFERROR(INDEX(Players!$B$4:$B$503,MATCH(9,Players!$L$4:$L$503,0)),"")</f>
        <v/>
      </c>
      <c r="B12" s="1" t="str">
        <f>IFERROR(INDEX(Players!$C$4:$C$503,MATCH(9,Players!$L$4:$L$503,0)),"")</f>
        <v/>
      </c>
      <c r="C12" s="1" t="str">
        <f>IFERROR(INDEX(Players!$D$4:$D$503,MATCH(9,Players!$L$4:$L$503,0)),"")</f>
        <v/>
      </c>
      <c r="D12" s="7" t="str">
        <f>IFERROR(INDEX(Players!$E$4:$E$503,MATCH(9,Players!$L$4:$L$503,0)),"")</f>
        <v/>
      </c>
      <c r="E12" s="1" t="str">
        <f>IFERROR(INDEX(Players!$F$4:$F$503,MATCH(9,Players!$L$4:$L$503,0)),"")</f>
        <v/>
      </c>
      <c r="F12" s="1" t="str">
        <f>IFERROR(INDEX(Players!$I$4:$I$503,MATCH(9,Players!$L$4:$L$503,0)),"")</f>
        <v/>
      </c>
    </row>
    <row r="13" spans="1:6">
      <c r="A13" s="1" t="str">
        <f>IFERROR(INDEX(Players!$B$4:$B$503,MATCH(10,Players!$L$4:$L$503,0)),"")</f>
        <v/>
      </c>
      <c r="B13" s="1" t="str">
        <f>IFERROR(INDEX(Players!$C$4:$C$503,MATCH(10,Players!$L$4:$L$503,0)),"")</f>
        <v/>
      </c>
      <c r="C13" s="1" t="str">
        <f>IFERROR(INDEX(Players!$D$4:$D$503,MATCH(10,Players!$L$4:$L$503,0)),"")</f>
        <v/>
      </c>
      <c r="D13" s="7" t="str">
        <f>IFERROR(INDEX(Players!$E$4:$E$503,MATCH(10,Players!$L$4:$L$503,0)),"")</f>
        <v/>
      </c>
      <c r="E13" s="1" t="str">
        <f>IFERROR(INDEX(Players!$F$4:$F$503,MATCH(10,Players!$L$4:$L$503,0)),"")</f>
        <v/>
      </c>
      <c r="F13" s="1" t="str">
        <f>IFERROR(INDEX(Players!$I$4:$I$503,MATCH(10,Players!$L$4:$L$503,0)),"")</f>
        <v/>
      </c>
    </row>
    <row r="14" spans="1:6">
      <c r="A14" s="1" t="str">
        <f>IFERROR(INDEX(Players!$B$4:$B$503,MATCH(11,Players!$L$4:$L$503,0)),"")</f>
        <v/>
      </c>
      <c r="B14" s="1" t="str">
        <f>IFERROR(INDEX(Players!$C$4:$C$503,MATCH(11,Players!$L$4:$L$503,0)),"")</f>
        <v/>
      </c>
      <c r="C14" s="1" t="str">
        <f>IFERROR(INDEX(Players!$D$4:$D$503,MATCH(11,Players!$L$4:$L$503,0)),"")</f>
        <v/>
      </c>
      <c r="D14" s="7" t="str">
        <f>IFERROR(INDEX(Players!$E$4:$E$503,MATCH(11,Players!$L$4:$L$503,0)),"")</f>
        <v/>
      </c>
      <c r="E14" s="1" t="str">
        <f>IFERROR(INDEX(Players!$F$4:$F$503,MATCH(11,Players!$L$4:$L$503,0)),"")</f>
        <v/>
      </c>
      <c r="F14" s="1" t="str">
        <f>IFERROR(INDEX(Players!$I$4:$I$503,MATCH(11,Players!$L$4:$L$503,0)),"")</f>
        <v/>
      </c>
    </row>
    <row r="15" spans="1:6">
      <c r="A15" s="1" t="str">
        <f>IFERROR(INDEX(Players!$B$4:$B$503,MATCH(12,Players!$L$4:$L$503,0)),"")</f>
        <v/>
      </c>
      <c r="B15" s="1" t="str">
        <f>IFERROR(INDEX(Players!$C$4:$C$503,MATCH(12,Players!$L$4:$L$503,0)),"")</f>
        <v/>
      </c>
      <c r="C15" s="1" t="str">
        <f>IFERROR(INDEX(Players!$D$4:$D$503,MATCH(12,Players!$L$4:$L$503,0)),"")</f>
        <v/>
      </c>
      <c r="D15" s="7" t="str">
        <f>IFERROR(INDEX(Players!$E$4:$E$503,MATCH(12,Players!$L$4:$L$503,0)),"")</f>
        <v/>
      </c>
      <c r="E15" s="1" t="str">
        <f>IFERROR(INDEX(Players!$F$4:$F$503,MATCH(12,Players!$L$4:$L$503,0)),"")</f>
        <v/>
      </c>
      <c r="F15" s="1" t="str">
        <f>IFERROR(INDEX(Players!$I$4:$I$503,MATCH(12,Players!$L$4:$L$503,0)),"")</f>
        <v/>
      </c>
    </row>
    <row r="16" spans="1:6">
      <c r="A16" s="1" t="str">
        <f>IFERROR(INDEX(Players!$B$4:$B$503,MATCH(13,Players!$L$4:$L$503,0)),"")</f>
        <v/>
      </c>
      <c r="B16" s="1" t="str">
        <f>IFERROR(INDEX(Players!$C$4:$C$503,MATCH(13,Players!$L$4:$L$503,0)),"")</f>
        <v/>
      </c>
      <c r="C16" s="1" t="str">
        <f>IFERROR(INDEX(Players!$D$4:$D$503,MATCH(13,Players!$L$4:$L$503,0)),"")</f>
        <v/>
      </c>
      <c r="D16" s="7" t="str">
        <f>IFERROR(INDEX(Players!$E$4:$E$503,MATCH(13,Players!$L$4:$L$503,0)),"")</f>
        <v/>
      </c>
      <c r="E16" s="1" t="str">
        <f>IFERROR(INDEX(Players!$F$4:$F$503,MATCH(13,Players!$L$4:$L$503,0)),"")</f>
        <v/>
      </c>
      <c r="F16" s="1" t="str">
        <f>IFERROR(INDEX(Players!$I$4:$I$503,MATCH(13,Players!$L$4:$L$503,0)),"")</f>
        <v/>
      </c>
    </row>
    <row r="17" spans="1:6">
      <c r="A17" s="1" t="str">
        <f>IFERROR(INDEX(Players!$B$4:$B$503,MATCH(14,Players!$L$4:$L$503,0)),"")</f>
        <v/>
      </c>
      <c r="B17" s="1" t="str">
        <f>IFERROR(INDEX(Players!$C$4:$C$503,MATCH(14,Players!$L$4:$L$503,0)),"")</f>
        <v/>
      </c>
      <c r="C17" s="1" t="str">
        <f>IFERROR(INDEX(Players!$D$4:$D$503,MATCH(14,Players!$L$4:$L$503,0)),"")</f>
        <v/>
      </c>
      <c r="D17" s="7" t="str">
        <f>IFERROR(INDEX(Players!$E$4:$E$503,MATCH(14,Players!$L$4:$L$503,0)),"")</f>
        <v/>
      </c>
      <c r="E17" s="1" t="str">
        <f>IFERROR(INDEX(Players!$F$4:$F$503,MATCH(14,Players!$L$4:$L$503,0)),"")</f>
        <v/>
      </c>
      <c r="F17" s="1" t="str">
        <f>IFERROR(INDEX(Players!$I$4:$I$503,MATCH(14,Players!$L$4:$L$503,0)),"")</f>
        <v/>
      </c>
    </row>
    <row r="18" spans="1:6">
      <c r="A18" s="1" t="str">
        <f>IFERROR(INDEX(Players!$B$4:$B$503,MATCH(15,Players!$L$4:$L$503,0)),"")</f>
        <v/>
      </c>
      <c r="B18" s="1" t="str">
        <f>IFERROR(INDEX(Players!$C$4:$C$503,MATCH(15,Players!$L$4:$L$503,0)),"")</f>
        <v/>
      </c>
      <c r="C18" s="1" t="str">
        <f>IFERROR(INDEX(Players!$D$4:$D$503,MATCH(15,Players!$L$4:$L$503,0)),"")</f>
        <v/>
      </c>
      <c r="D18" s="7" t="str">
        <f>IFERROR(INDEX(Players!$E$4:$E$503,MATCH(15,Players!$L$4:$L$503,0)),"")</f>
        <v/>
      </c>
      <c r="E18" s="1" t="str">
        <f>IFERROR(INDEX(Players!$F$4:$F$503,MATCH(15,Players!$L$4:$L$503,0)),"")</f>
        <v/>
      </c>
      <c r="F18" s="1" t="str">
        <f>IFERROR(INDEX(Players!$I$4:$I$503,MATCH(15,Players!$L$4:$L$503,0)),"")</f>
        <v/>
      </c>
    </row>
    <row r="19" spans="1:6">
      <c r="A19" s="1" t="str">
        <f>IFERROR(INDEX(Players!$B$4:$B$503,MATCH(16,Players!$L$4:$L$503,0)),"")</f>
        <v/>
      </c>
      <c r="B19" s="1" t="str">
        <f>IFERROR(INDEX(Players!$C$4:$C$503,MATCH(16,Players!$L$4:$L$503,0)),"")</f>
        <v/>
      </c>
      <c r="C19" s="1" t="str">
        <f>IFERROR(INDEX(Players!$D$4:$D$503,MATCH(16,Players!$L$4:$L$503,0)),"")</f>
        <v/>
      </c>
      <c r="D19" s="7" t="str">
        <f>IFERROR(INDEX(Players!$E$4:$E$503,MATCH(16,Players!$L$4:$L$503,0)),"")</f>
        <v/>
      </c>
      <c r="E19" s="1" t="str">
        <f>IFERROR(INDEX(Players!$F$4:$F$503,MATCH(16,Players!$L$4:$L$503,0)),"")</f>
        <v/>
      </c>
      <c r="F19" s="1" t="str">
        <f>IFERROR(INDEX(Players!$I$4:$I$503,MATCH(16,Players!$L$4:$L$503,0)),"")</f>
        <v/>
      </c>
    </row>
    <row r="20" spans="1:6">
      <c r="A20" s="1" t="str">
        <f>IFERROR(INDEX(Players!$B$4:$B$503,MATCH(17,Players!$L$4:$L$503,0)),"")</f>
        <v/>
      </c>
      <c r="B20" s="1" t="str">
        <f>IFERROR(INDEX(Players!$C$4:$C$503,MATCH(17,Players!$L$4:$L$503,0)),"")</f>
        <v/>
      </c>
      <c r="C20" s="1" t="str">
        <f>IFERROR(INDEX(Players!$D$4:$D$503,MATCH(17,Players!$L$4:$L$503,0)),"")</f>
        <v/>
      </c>
      <c r="D20" s="7" t="str">
        <f>IFERROR(INDEX(Players!$E$4:$E$503,MATCH(17,Players!$L$4:$L$503,0)),"")</f>
        <v/>
      </c>
      <c r="E20" s="1" t="str">
        <f>IFERROR(INDEX(Players!$F$4:$F$503,MATCH(17,Players!$L$4:$L$503,0)),"")</f>
        <v/>
      </c>
      <c r="F20" s="1" t="str">
        <f>IFERROR(INDEX(Players!$I$4:$I$503,MATCH(17,Players!$L$4:$L$503,0)),"")</f>
        <v/>
      </c>
    </row>
    <row r="21" spans="1:6">
      <c r="A21" s="1" t="str">
        <f>IFERROR(INDEX(Players!$B$4:$B$503,MATCH(18,Players!$L$4:$L$503,0)),"")</f>
        <v/>
      </c>
      <c r="B21" s="1" t="str">
        <f>IFERROR(INDEX(Players!$C$4:$C$503,MATCH(18,Players!$L$4:$L$503,0)),"")</f>
        <v/>
      </c>
      <c r="C21" s="1" t="str">
        <f>IFERROR(INDEX(Players!$D$4:$D$503,MATCH(18,Players!$L$4:$L$503,0)),"")</f>
        <v/>
      </c>
      <c r="D21" s="7" t="str">
        <f>IFERROR(INDEX(Players!$E$4:$E$503,MATCH(18,Players!$L$4:$L$503,0)),"")</f>
        <v/>
      </c>
      <c r="E21" s="1" t="str">
        <f>IFERROR(INDEX(Players!$F$4:$F$503,MATCH(18,Players!$L$4:$L$503,0)),"")</f>
        <v/>
      </c>
      <c r="F21" s="1" t="str">
        <f>IFERROR(INDEX(Players!$I$4:$I$503,MATCH(18,Players!$L$4:$L$503,0)),"")</f>
        <v/>
      </c>
    </row>
    <row r="22" spans="1:6">
      <c r="A22" s="1" t="str">
        <f>IFERROR(INDEX(Players!$B$4:$B$503,MATCH(19,Players!$L$4:$L$503,0)),"")</f>
        <v/>
      </c>
      <c r="B22" s="1" t="str">
        <f>IFERROR(INDEX(Players!$C$4:$C$503,MATCH(19,Players!$L$4:$L$503,0)),"")</f>
        <v/>
      </c>
      <c r="C22" s="1" t="str">
        <f>IFERROR(INDEX(Players!$D$4:$D$503,MATCH(19,Players!$L$4:$L$503,0)),"")</f>
        <v/>
      </c>
      <c r="D22" s="7" t="str">
        <f>IFERROR(INDEX(Players!$E$4:$E$503,MATCH(19,Players!$L$4:$L$503,0)),"")</f>
        <v/>
      </c>
      <c r="E22" s="1" t="str">
        <f>IFERROR(INDEX(Players!$F$4:$F$503,MATCH(19,Players!$L$4:$L$503,0)),"")</f>
        <v/>
      </c>
      <c r="F22" s="1" t="str">
        <f>IFERROR(INDEX(Players!$I$4:$I$503,MATCH(19,Players!$L$4:$L$503,0)),"")</f>
        <v/>
      </c>
    </row>
    <row r="23" spans="1:6">
      <c r="A23" s="1" t="str">
        <f>IFERROR(INDEX(Players!$B$4:$B$503,MATCH(20,Players!$L$4:$L$503,0)),"")</f>
        <v/>
      </c>
      <c r="B23" s="1" t="str">
        <f>IFERROR(INDEX(Players!$C$4:$C$503,MATCH(20,Players!$L$4:$L$503,0)),"")</f>
        <v/>
      </c>
      <c r="C23" s="1" t="str">
        <f>IFERROR(INDEX(Players!$D$4:$D$503,MATCH(20,Players!$L$4:$L$503,0)),"")</f>
        <v/>
      </c>
      <c r="D23" s="7" t="str">
        <f>IFERROR(INDEX(Players!$E$4:$E$503,MATCH(20,Players!$L$4:$L$503,0)),"")</f>
        <v/>
      </c>
      <c r="E23" s="1" t="str">
        <f>IFERROR(INDEX(Players!$F$4:$F$503,MATCH(20,Players!$L$4:$L$503,0)),"")</f>
        <v/>
      </c>
      <c r="F23" s="1" t="str">
        <f>IFERROR(INDEX(Players!$I$4:$I$503,MATCH(20,Players!$L$4:$L$503,0)),"")</f>
        <v/>
      </c>
    </row>
    <row r="24" spans="1:6">
      <c r="A24" s="1" t="str">
        <f>IFERROR(INDEX(Players!$B$4:$B$503,MATCH(21,Players!$L$4:$L$503,0)),"")</f>
        <v/>
      </c>
      <c r="B24" s="1" t="str">
        <f>IFERROR(INDEX(Players!$C$4:$C$503,MATCH(21,Players!$L$4:$L$503,0)),"")</f>
        <v/>
      </c>
      <c r="C24" s="1" t="str">
        <f>IFERROR(INDEX(Players!$D$4:$D$503,MATCH(21,Players!$L$4:$L$503,0)),"")</f>
        <v/>
      </c>
      <c r="D24" s="7" t="str">
        <f>IFERROR(INDEX(Players!$E$4:$E$503,MATCH(21,Players!$L$4:$L$503,0)),"")</f>
        <v/>
      </c>
      <c r="E24" s="1" t="str">
        <f>IFERROR(INDEX(Players!$F$4:$F$503,MATCH(21,Players!$L$4:$L$503,0)),"")</f>
        <v/>
      </c>
      <c r="F24" s="1" t="str">
        <f>IFERROR(INDEX(Players!$I$4:$I$503,MATCH(21,Players!$L$4:$L$503,0)),"")</f>
        <v/>
      </c>
    </row>
    <row r="25" spans="1:6">
      <c r="A25" s="1" t="str">
        <f>IFERROR(INDEX(Players!$B$4:$B$503,MATCH(22,Players!$L$4:$L$503,0)),"")</f>
        <v/>
      </c>
      <c r="B25" s="1" t="str">
        <f>IFERROR(INDEX(Players!$C$4:$C$503,MATCH(22,Players!$L$4:$L$503,0)),"")</f>
        <v/>
      </c>
      <c r="C25" s="1" t="str">
        <f>IFERROR(INDEX(Players!$D$4:$D$503,MATCH(22,Players!$L$4:$L$503,0)),"")</f>
        <v/>
      </c>
      <c r="D25" s="7" t="str">
        <f>IFERROR(INDEX(Players!$E$4:$E$503,MATCH(22,Players!$L$4:$L$503,0)),"")</f>
        <v/>
      </c>
      <c r="E25" s="1" t="str">
        <f>IFERROR(INDEX(Players!$F$4:$F$503,MATCH(22,Players!$L$4:$L$503,0)),"")</f>
        <v/>
      </c>
      <c r="F25" s="1" t="str">
        <f>IFERROR(INDEX(Players!$I$4:$I$503,MATCH(22,Players!$L$4:$L$503,0)),"")</f>
        <v/>
      </c>
    </row>
    <row r="26" spans="1:6">
      <c r="A26" s="1" t="str">
        <f>IFERROR(INDEX(Players!$B$4:$B$503,MATCH(23,Players!$L$4:$L$503,0)),"")</f>
        <v/>
      </c>
      <c r="B26" s="1" t="str">
        <f>IFERROR(INDEX(Players!$C$4:$C$503,MATCH(23,Players!$L$4:$L$503,0)),"")</f>
        <v/>
      </c>
      <c r="C26" s="1" t="str">
        <f>IFERROR(INDEX(Players!$D$4:$D$503,MATCH(23,Players!$L$4:$L$503,0)),"")</f>
        <v/>
      </c>
      <c r="D26" s="7" t="str">
        <f>IFERROR(INDEX(Players!$E$4:$E$503,MATCH(23,Players!$L$4:$L$503,0)),"")</f>
        <v/>
      </c>
      <c r="E26" s="1" t="str">
        <f>IFERROR(INDEX(Players!$F$4:$F$503,MATCH(23,Players!$L$4:$L$503,0)),"")</f>
        <v/>
      </c>
      <c r="F26" s="1" t="str">
        <f>IFERROR(INDEX(Players!$I$4:$I$503,MATCH(23,Players!$L$4:$L$503,0)),"")</f>
        <v/>
      </c>
    </row>
    <row r="27" spans="1:6">
      <c r="A27" s="1" t="str">
        <f>IFERROR(INDEX(Players!$B$4:$B$503,MATCH(24,Players!$L$4:$L$503,0)),"")</f>
        <v/>
      </c>
      <c r="B27" s="1" t="str">
        <f>IFERROR(INDEX(Players!$C$4:$C$503,MATCH(24,Players!$L$4:$L$503,0)),"")</f>
        <v/>
      </c>
      <c r="C27" s="1" t="str">
        <f>IFERROR(INDEX(Players!$D$4:$D$503,MATCH(24,Players!$L$4:$L$503,0)),"")</f>
        <v/>
      </c>
      <c r="D27" s="7" t="str">
        <f>IFERROR(INDEX(Players!$E$4:$E$503,MATCH(24,Players!$L$4:$L$503,0)),"")</f>
        <v/>
      </c>
      <c r="E27" s="1" t="str">
        <f>IFERROR(INDEX(Players!$F$4:$F$503,MATCH(24,Players!$L$4:$L$503,0)),"")</f>
        <v/>
      </c>
      <c r="F27" s="1" t="str">
        <f>IFERROR(INDEX(Players!$I$4:$I$503,MATCH(24,Players!$L$4:$L$503,0)),"")</f>
        <v/>
      </c>
    </row>
    <row r="28" spans="1:6">
      <c r="A28" s="1" t="str">
        <f>IFERROR(INDEX(Players!$B$4:$B$503,MATCH(25,Players!$L$4:$L$503,0)),"")</f>
        <v/>
      </c>
      <c r="B28" s="1" t="str">
        <f>IFERROR(INDEX(Players!$C$4:$C$503,MATCH(25,Players!$L$4:$L$503,0)),"")</f>
        <v/>
      </c>
      <c r="C28" s="1" t="str">
        <f>IFERROR(INDEX(Players!$D$4:$D$503,MATCH(25,Players!$L$4:$L$503,0)),"")</f>
        <v/>
      </c>
      <c r="D28" s="7" t="str">
        <f>IFERROR(INDEX(Players!$E$4:$E$503,MATCH(25,Players!$L$4:$L$503,0)),"")</f>
        <v/>
      </c>
      <c r="E28" s="1" t="str">
        <f>IFERROR(INDEX(Players!$F$4:$F$503,MATCH(25,Players!$L$4:$L$503,0)),"")</f>
        <v/>
      </c>
      <c r="F28" s="1" t="str">
        <f>IFERROR(INDEX(Players!$I$4:$I$503,MATCH(25,Players!$L$4:$L$503,0)),"")</f>
        <v/>
      </c>
    </row>
    <row r="29" spans="1:6">
      <c r="A29" s="1" t="str">
        <f>IFERROR(INDEX(Players!$B$4:$B$503,MATCH(26,Players!$L$4:$L$503,0)),"")</f>
        <v/>
      </c>
      <c r="B29" s="1" t="str">
        <f>IFERROR(INDEX(Players!$C$4:$C$503,MATCH(26,Players!$L$4:$L$503,0)),"")</f>
        <v/>
      </c>
      <c r="C29" s="1" t="str">
        <f>IFERROR(INDEX(Players!$D$4:$D$503,MATCH(26,Players!$L$4:$L$503,0)),"")</f>
        <v/>
      </c>
      <c r="D29" s="7" t="str">
        <f>IFERROR(INDEX(Players!$E$4:$E$503,MATCH(26,Players!$L$4:$L$503,0)),"")</f>
        <v/>
      </c>
      <c r="E29" s="1" t="str">
        <f>IFERROR(INDEX(Players!$F$4:$F$503,MATCH(26,Players!$L$4:$L$503,0)),"")</f>
        <v/>
      </c>
      <c r="F29" s="1" t="str">
        <f>IFERROR(INDEX(Players!$I$4:$I$503,MATCH(26,Players!$L$4:$L$503,0)),"")</f>
        <v/>
      </c>
    </row>
    <row r="30" spans="1:6">
      <c r="A30" s="1" t="str">
        <f>IFERROR(INDEX(Players!$B$4:$B$503,MATCH(27,Players!$L$4:$L$503,0)),"")</f>
        <v/>
      </c>
      <c r="B30" s="1" t="str">
        <f>IFERROR(INDEX(Players!$C$4:$C$503,MATCH(27,Players!$L$4:$L$503,0)),"")</f>
        <v/>
      </c>
      <c r="C30" s="1" t="str">
        <f>IFERROR(INDEX(Players!$D$4:$D$503,MATCH(27,Players!$L$4:$L$503,0)),"")</f>
        <v/>
      </c>
      <c r="D30" s="7" t="str">
        <f>IFERROR(INDEX(Players!$E$4:$E$503,MATCH(27,Players!$L$4:$L$503,0)),"")</f>
        <v/>
      </c>
      <c r="E30" s="1" t="str">
        <f>IFERROR(INDEX(Players!$F$4:$F$503,MATCH(27,Players!$L$4:$L$503,0)),"")</f>
        <v/>
      </c>
      <c r="F30" s="1" t="str">
        <f>IFERROR(INDEX(Players!$I$4:$I$503,MATCH(27,Players!$L$4:$L$503,0)),"")</f>
        <v/>
      </c>
    </row>
    <row r="31" spans="1:6">
      <c r="A31" s="1" t="str">
        <f>IFERROR(INDEX(Players!$B$4:$B$503,MATCH(28,Players!$L$4:$L$503,0)),"")</f>
        <v/>
      </c>
      <c r="B31" s="1" t="str">
        <f>IFERROR(INDEX(Players!$C$4:$C$503,MATCH(28,Players!$L$4:$L$503,0)),"")</f>
        <v/>
      </c>
      <c r="C31" s="1" t="str">
        <f>IFERROR(INDEX(Players!$D$4:$D$503,MATCH(28,Players!$L$4:$L$503,0)),"")</f>
        <v/>
      </c>
      <c r="D31" s="7" t="str">
        <f>IFERROR(INDEX(Players!$E$4:$E$503,MATCH(28,Players!$L$4:$L$503,0)),"")</f>
        <v/>
      </c>
      <c r="E31" s="1" t="str">
        <f>IFERROR(INDEX(Players!$F$4:$F$503,MATCH(28,Players!$L$4:$L$503,0)),"")</f>
        <v/>
      </c>
      <c r="F31" s="1" t="str">
        <f>IFERROR(INDEX(Players!$I$4:$I$503,MATCH(28,Players!$L$4:$L$503,0)),"")</f>
        <v/>
      </c>
    </row>
    <row r="32" spans="1:6">
      <c r="A32" s="1" t="str">
        <f>IFERROR(INDEX(Players!$B$4:$B$503,MATCH(29,Players!$L$4:$L$503,0)),"")</f>
        <v/>
      </c>
      <c r="B32" s="1" t="str">
        <f>IFERROR(INDEX(Players!$C$4:$C$503,MATCH(29,Players!$L$4:$L$503,0)),"")</f>
        <v/>
      </c>
      <c r="C32" s="1" t="str">
        <f>IFERROR(INDEX(Players!$D$4:$D$503,MATCH(29,Players!$L$4:$L$503,0)),"")</f>
        <v/>
      </c>
      <c r="D32" s="7" t="str">
        <f>IFERROR(INDEX(Players!$E$4:$E$503,MATCH(29,Players!$L$4:$L$503,0)),"")</f>
        <v/>
      </c>
      <c r="E32" s="1" t="str">
        <f>IFERROR(INDEX(Players!$F$4:$F$503,MATCH(29,Players!$L$4:$L$503,0)),"")</f>
        <v/>
      </c>
      <c r="F32" s="1" t="str">
        <f>IFERROR(INDEX(Players!$I$4:$I$503,MATCH(29,Players!$L$4:$L$503,0)),"")</f>
        <v/>
      </c>
    </row>
    <row r="33" spans="1:6">
      <c r="A33" s="1" t="str">
        <f>IFERROR(INDEX(Players!$B$4:$B$503,MATCH(30,Players!$L$4:$L$503,0)),"")</f>
        <v/>
      </c>
      <c r="B33" s="1" t="str">
        <f>IFERROR(INDEX(Players!$C$4:$C$503,MATCH(30,Players!$L$4:$L$503,0)),"")</f>
        <v/>
      </c>
      <c r="C33" s="1" t="str">
        <f>IFERROR(INDEX(Players!$D$4:$D$503,MATCH(30,Players!$L$4:$L$503,0)),"")</f>
        <v/>
      </c>
      <c r="D33" s="7" t="str">
        <f>IFERROR(INDEX(Players!$E$4:$E$503,MATCH(30,Players!$L$4:$L$503,0)),"")</f>
        <v/>
      </c>
      <c r="E33" s="1" t="str">
        <f>IFERROR(INDEX(Players!$F$4:$F$503,MATCH(30,Players!$L$4:$L$503,0)),"")</f>
        <v/>
      </c>
      <c r="F33" s="1" t="str">
        <f>IFERROR(INDEX(Players!$I$4:$I$503,MATCH(30,Players!$L$4:$L$503,0)),"")</f>
        <v/>
      </c>
    </row>
    <row r="34" spans="1:6">
      <c r="A34" s="1" t="str">
        <f>IFERROR(INDEX(Players!$B$4:$B$503,MATCH(31,Players!$L$4:$L$503,0)),"")</f>
        <v/>
      </c>
      <c r="B34" s="1" t="str">
        <f>IFERROR(INDEX(Players!$C$4:$C$503,MATCH(31,Players!$L$4:$L$503,0)),"")</f>
        <v/>
      </c>
      <c r="C34" s="1" t="str">
        <f>IFERROR(INDEX(Players!$D$4:$D$503,MATCH(31,Players!$L$4:$L$503,0)),"")</f>
        <v/>
      </c>
      <c r="D34" s="7" t="str">
        <f>IFERROR(INDEX(Players!$E$4:$E$503,MATCH(31,Players!$L$4:$L$503,0)),"")</f>
        <v/>
      </c>
      <c r="E34" s="1" t="str">
        <f>IFERROR(INDEX(Players!$F$4:$F$503,MATCH(31,Players!$L$4:$L$503,0)),"")</f>
        <v/>
      </c>
      <c r="F34" s="1" t="str">
        <f>IFERROR(INDEX(Players!$I$4:$I$503,MATCH(31,Players!$L$4:$L$503,0)),"")</f>
        <v/>
      </c>
    </row>
    <row r="35" spans="1:6">
      <c r="A35" s="1" t="str">
        <f>IFERROR(INDEX(Players!$B$4:$B$503,MATCH(32,Players!$L$4:$L$503,0)),"")</f>
        <v/>
      </c>
      <c r="B35" s="1" t="str">
        <f>IFERROR(INDEX(Players!$C$4:$C$503,MATCH(32,Players!$L$4:$L$503,0)),"")</f>
        <v/>
      </c>
      <c r="C35" s="1" t="str">
        <f>IFERROR(INDEX(Players!$D$4:$D$503,MATCH(32,Players!$L$4:$L$503,0)),"")</f>
        <v/>
      </c>
      <c r="D35" s="7" t="str">
        <f>IFERROR(INDEX(Players!$E$4:$E$503,MATCH(32,Players!$L$4:$L$503,0)),"")</f>
        <v/>
      </c>
      <c r="E35" s="1" t="str">
        <f>IFERROR(INDEX(Players!$F$4:$F$503,MATCH(32,Players!$L$4:$L$503,0)),"")</f>
        <v/>
      </c>
      <c r="F35" s="1" t="str">
        <f>IFERROR(INDEX(Players!$I$4:$I$503,MATCH(32,Players!$L$4:$L$503,0)),"")</f>
        <v/>
      </c>
    </row>
    <row r="36" spans="1:6">
      <c r="A36" s="1" t="str">
        <f>IFERROR(INDEX(Players!$B$4:$B$503,MATCH(33,Players!$L$4:$L$503,0)),"")</f>
        <v/>
      </c>
      <c r="B36" s="1" t="str">
        <f>IFERROR(INDEX(Players!$C$4:$C$503,MATCH(33,Players!$L$4:$L$503,0)),"")</f>
        <v/>
      </c>
      <c r="C36" s="1" t="str">
        <f>IFERROR(INDEX(Players!$D$4:$D$503,MATCH(33,Players!$L$4:$L$503,0)),"")</f>
        <v/>
      </c>
      <c r="D36" s="7" t="str">
        <f>IFERROR(INDEX(Players!$E$4:$E$503,MATCH(33,Players!$L$4:$L$503,0)),"")</f>
        <v/>
      </c>
      <c r="E36" s="1" t="str">
        <f>IFERROR(INDEX(Players!$F$4:$F$503,MATCH(33,Players!$L$4:$L$503,0)),"")</f>
        <v/>
      </c>
      <c r="F36" s="1" t="str">
        <f>IFERROR(INDEX(Players!$I$4:$I$503,MATCH(33,Players!$L$4:$L$503,0)),"")</f>
        <v/>
      </c>
    </row>
    <row r="37" spans="1:6">
      <c r="A37" s="1" t="str">
        <f>IFERROR(INDEX(Players!$B$4:$B$503,MATCH(34,Players!$L$4:$L$503,0)),"")</f>
        <v/>
      </c>
      <c r="B37" s="1" t="str">
        <f>IFERROR(INDEX(Players!$C$4:$C$503,MATCH(34,Players!$L$4:$L$503,0)),"")</f>
        <v/>
      </c>
      <c r="C37" s="1" t="str">
        <f>IFERROR(INDEX(Players!$D$4:$D$503,MATCH(34,Players!$L$4:$L$503,0)),"")</f>
        <v/>
      </c>
      <c r="D37" s="7" t="str">
        <f>IFERROR(INDEX(Players!$E$4:$E$503,MATCH(34,Players!$L$4:$L$503,0)),"")</f>
        <v/>
      </c>
      <c r="E37" s="1" t="str">
        <f>IFERROR(INDEX(Players!$F$4:$F$503,MATCH(34,Players!$L$4:$L$503,0)),"")</f>
        <v/>
      </c>
      <c r="F37" s="1" t="str">
        <f>IFERROR(INDEX(Players!$I$4:$I$503,MATCH(34,Players!$L$4:$L$503,0)),"")</f>
        <v/>
      </c>
    </row>
    <row r="38" spans="1:6">
      <c r="A38" s="1" t="str">
        <f>IFERROR(INDEX(Players!$B$4:$B$503,MATCH(35,Players!$L$4:$L$503,0)),"")</f>
        <v/>
      </c>
      <c r="B38" s="1" t="str">
        <f>IFERROR(INDEX(Players!$C$4:$C$503,MATCH(35,Players!$L$4:$L$503,0)),"")</f>
        <v/>
      </c>
      <c r="C38" s="1" t="str">
        <f>IFERROR(INDEX(Players!$D$4:$D$503,MATCH(35,Players!$L$4:$L$503,0)),"")</f>
        <v/>
      </c>
      <c r="D38" s="7" t="str">
        <f>IFERROR(INDEX(Players!$E$4:$E$503,MATCH(35,Players!$L$4:$L$503,0)),"")</f>
        <v/>
      </c>
      <c r="E38" s="1" t="str">
        <f>IFERROR(INDEX(Players!$F$4:$F$503,MATCH(35,Players!$L$4:$L$503,0)),"")</f>
        <v/>
      </c>
      <c r="F38" s="1" t="str">
        <f>IFERROR(INDEX(Players!$I$4:$I$503,MATCH(35,Players!$L$4:$L$503,0)),"")</f>
        <v/>
      </c>
    </row>
    <row r="39" spans="1:6">
      <c r="A39" s="1" t="str">
        <f>IFERROR(INDEX(Players!$B$4:$B$503,MATCH(36,Players!$L$4:$L$503,0)),"")</f>
        <v/>
      </c>
      <c r="B39" s="1" t="str">
        <f>IFERROR(INDEX(Players!$C$4:$C$503,MATCH(36,Players!$L$4:$L$503,0)),"")</f>
        <v/>
      </c>
      <c r="C39" s="1" t="str">
        <f>IFERROR(INDEX(Players!$D$4:$D$503,MATCH(36,Players!$L$4:$L$503,0)),"")</f>
        <v/>
      </c>
      <c r="D39" s="7" t="str">
        <f>IFERROR(INDEX(Players!$E$4:$E$503,MATCH(36,Players!$L$4:$L$503,0)),"")</f>
        <v/>
      </c>
      <c r="E39" s="1" t="str">
        <f>IFERROR(INDEX(Players!$F$4:$F$503,MATCH(36,Players!$L$4:$L$503,0)),"")</f>
        <v/>
      </c>
      <c r="F39" s="1" t="str">
        <f>IFERROR(INDEX(Players!$I$4:$I$503,MATCH(36,Players!$L$4:$L$503,0)),"")</f>
        <v/>
      </c>
    </row>
    <row r="40" spans="1:6">
      <c r="A40" s="1" t="str">
        <f>IFERROR(INDEX(Players!$B$4:$B$503,MATCH(37,Players!$L$4:$L$503,0)),"")</f>
        <v/>
      </c>
      <c r="B40" s="1" t="str">
        <f>IFERROR(INDEX(Players!$C$4:$C$503,MATCH(37,Players!$L$4:$L$503,0)),"")</f>
        <v/>
      </c>
      <c r="C40" s="1" t="str">
        <f>IFERROR(INDEX(Players!$D$4:$D$503,MATCH(37,Players!$L$4:$L$503,0)),"")</f>
        <v/>
      </c>
      <c r="D40" s="7" t="str">
        <f>IFERROR(INDEX(Players!$E$4:$E$503,MATCH(37,Players!$L$4:$L$503,0)),"")</f>
        <v/>
      </c>
      <c r="E40" s="1" t="str">
        <f>IFERROR(INDEX(Players!$F$4:$F$503,MATCH(37,Players!$L$4:$L$503,0)),"")</f>
        <v/>
      </c>
      <c r="F40" s="1" t="str">
        <f>IFERROR(INDEX(Players!$I$4:$I$503,MATCH(37,Players!$L$4:$L$503,0)),"")</f>
        <v/>
      </c>
    </row>
    <row r="41" spans="1:6">
      <c r="A41" s="1" t="str">
        <f>IFERROR(INDEX(Players!$B$4:$B$503,MATCH(38,Players!$L$4:$L$503,0)),"")</f>
        <v/>
      </c>
      <c r="B41" s="1" t="str">
        <f>IFERROR(INDEX(Players!$C$4:$C$503,MATCH(38,Players!$L$4:$L$503,0)),"")</f>
        <v/>
      </c>
      <c r="C41" s="1" t="str">
        <f>IFERROR(INDEX(Players!$D$4:$D$503,MATCH(38,Players!$L$4:$L$503,0)),"")</f>
        <v/>
      </c>
      <c r="D41" s="7" t="str">
        <f>IFERROR(INDEX(Players!$E$4:$E$503,MATCH(38,Players!$L$4:$L$503,0)),"")</f>
        <v/>
      </c>
      <c r="E41" s="1" t="str">
        <f>IFERROR(INDEX(Players!$F$4:$F$503,MATCH(38,Players!$L$4:$L$503,0)),"")</f>
        <v/>
      </c>
      <c r="F41" s="1" t="str">
        <f>IFERROR(INDEX(Players!$I$4:$I$503,MATCH(38,Players!$L$4:$L$503,0)),"")</f>
        <v/>
      </c>
    </row>
    <row r="42" spans="1:6">
      <c r="A42" s="1" t="str">
        <f>IFERROR(INDEX(Players!$B$4:$B$503,MATCH(39,Players!$L$4:$L$503,0)),"")</f>
        <v/>
      </c>
      <c r="B42" s="1" t="str">
        <f>IFERROR(INDEX(Players!$C$4:$C$503,MATCH(39,Players!$L$4:$L$503,0)),"")</f>
        <v/>
      </c>
      <c r="C42" s="1" t="str">
        <f>IFERROR(INDEX(Players!$D$4:$D$503,MATCH(39,Players!$L$4:$L$503,0)),"")</f>
        <v/>
      </c>
      <c r="D42" s="7" t="str">
        <f>IFERROR(INDEX(Players!$E$4:$E$503,MATCH(39,Players!$L$4:$L$503,0)),"")</f>
        <v/>
      </c>
      <c r="E42" s="1" t="str">
        <f>IFERROR(INDEX(Players!$F$4:$F$503,MATCH(39,Players!$L$4:$L$503,0)),"")</f>
        <v/>
      </c>
      <c r="F42" s="1" t="str">
        <f>IFERROR(INDEX(Players!$I$4:$I$503,MATCH(39,Players!$L$4:$L$503,0)),"")</f>
        <v/>
      </c>
    </row>
    <row r="43" spans="1:6">
      <c r="A43" s="1" t="str">
        <f>IFERROR(INDEX(Players!$B$4:$B$503,MATCH(40,Players!$L$4:$L$503,0)),"")</f>
        <v/>
      </c>
      <c r="B43" s="1" t="str">
        <f>IFERROR(INDEX(Players!$C$4:$C$503,MATCH(40,Players!$L$4:$L$503,0)),"")</f>
        <v/>
      </c>
      <c r="C43" s="1" t="str">
        <f>IFERROR(INDEX(Players!$D$4:$D$503,MATCH(40,Players!$L$4:$L$503,0)),"")</f>
        <v/>
      </c>
      <c r="D43" s="7" t="str">
        <f>IFERROR(INDEX(Players!$E$4:$E$503,MATCH(40,Players!$L$4:$L$503,0)),"")</f>
        <v/>
      </c>
      <c r="E43" s="1" t="str">
        <f>IFERROR(INDEX(Players!$F$4:$F$503,MATCH(40,Players!$L$4:$L$503,0)),"")</f>
        <v/>
      </c>
      <c r="F43" s="1" t="str">
        <f>IFERROR(INDEX(Players!$I$4:$I$503,MATCH(40,Players!$L$4:$L$503,0)),"")</f>
        <v/>
      </c>
    </row>
    <row r="44" spans="1:6">
      <c r="A44" s="1" t="str">
        <f>IFERROR(INDEX(Players!$B$4:$B$503,MATCH(41,Players!$L$4:$L$503,0)),"")</f>
        <v/>
      </c>
      <c r="B44" s="1" t="str">
        <f>IFERROR(INDEX(Players!$C$4:$C$503,MATCH(41,Players!$L$4:$L$503,0)),"")</f>
        <v/>
      </c>
      <c r="C44" s="1" t="str">
        <f>IFERROR(INDEX(Players!$D$4:$D$503,MATCH(41,Players!$L$4:$L$503,0)),"")</f>
        <v/>
      </c>
      <c r="D44" s="7" t="str">
        <f>IFERROR(INDEX(Players!$E$4:$E$503,MATCH(41,Players!$L$4:$L$503,0)),"")</f>
        <v/>
      </c>
      <c r="E44" s="1" t="str">
        <f>IFERROR(INDEX(Players!$F$4:$F$503,MATCH(41,Players!$L$4:$L$503,0)),"")</f>
        <v/>
      </c>
      <c r="F44" s="1" t="str">
        <f>IFERROR(INDEX(Players!$I$4:$I$503,MATCH(41,Players!$L$4:$L$503,0)),"")</f>
        <v/>
      </c>
    </row>
    <row r="45" spans="1:6">
      <c r="A45" s="1" t="str">
        <f>IFERROR(INDEX(Players!$B$4:$B$503,MATCH(42,Players!$L$4:$L$503,0)),"")</f>
        <v/>
      </c>
      <c r="B45" s="1" t="str">
        <f>IFERROR(INDEX(Players!$C$4:$C$503,MATCH(42,Players!$L$4:$L$503,0)),"")</f>
        <v/>
      </c>
      <c r="C45" s="1" t="str">
        <f>IFERROR(INDEX(Players!$D$4:$D$503,MATCH(42,Players!$L$4:$L$503,0)),"")</f>
        <v/>
      </c>
      <c r="D45" s="7" t="str">
        <f>IFERROR(INDEX(Players!$E$4:$E$503,MATCH(42,Players!$L$4:$L$503,0)),"")</f>
        <v/>
      </c>
      <c r="E45" s="1" t="str">
        <f>IFERROR(INDEX(Players!$F$4:$F$503,MATCH(42,Players!$L$4:$L$503,0)),"")</f>
        <v/>
      </c>
      <c r="F45" s="1" t="str">
        <f>IFERROR(INDEX(Players!$I$4:$I$503,MATCH(42,Players!$L$4:$L$503,0)),"")</f>
        <v/>
      </c>
    </row>
    <row r="46" spans="1:6">
      <c r="A46" s="1" t="str">
        <f>IFERROR(INDEX(Players!$B$4:$B$503,MATCH(43,Players!$L$4:$L$503,0)),"")</f>
        <v/>
      </c>
      <c r="B46" s="1" t="str">
        <f>IFERROR(INDEX(Players!$C$4:$C$503,MATCH(43,Players!$L$4:$L$503,0)),"")</f>
        <v/>
      </c>
      <c r="C46" s="1" t="str">
        <f>IFERROR(INDEX(Players!$D$4:$D$503,MATCH(43,Players!$L$4:$L$503,0)),"")</f>
        <v/>
      </c>
      <c r="D46" s="7" t="str">
        <f>IFERROR(INDEX(Players!$E$4:$E$503,MATCH(43,Players!$L$4:$L$503,0)),"")</f>
        <v/>
      </c>
      <c r="E46" s="1" t="str">
        <f>IFERROR(INDEX(Players!$F$4:$F$503,MATCH(43,Players!$L$4:$L$503,0)),"")</f>
        <v/>
      </c>
      <c r="F46" s="1" t="str">
        <f>IFERROR(INDEX(Players!$I$4:$I$503,MATCH(43,Players!$L$4:$L$503,0)),"")</f>
        <v/>
      </c>
    </row>
    <row r="47" spans="1:6">
      <c r="A47" s="1" t="str">
        <f>IFERROR(INDEX(Players!$B$4:$B$503,MATCH(44,Players!$L$4:$L$503,0)),"")</f>
        <v/>
      </c>
      <c r="B47" s="1" t="str">
        <f>IFERROR(INDEX(Players!$C$4:$C$503,MATCH(44,Players!$L$4:$L$503,0)),"")</f>
        <v/>
      </c>
      <c r="C47" s="1" t="str">
        <f>IFERROR(INDEX(Players!$D$4:$D$503,MATCH(44,Players!$L$4:$L$503,0)),"")</f>
        <v/>
      </c>
      <c r="D47" s="7" t="str">
        <f>IFERROR(INDEX(Players!$E$4:$E$503,MATCH(44,Players!$L$4:$L$503,0)),"")</f>
        <v/>
      </c>
      <c r="E47" s="1" t="str">
        <f>IFERROR(INDEX(Players!$F$4:$F$503,MATCH(44,Players!$L$4:$L$503,0)),"")</f>
        <v/>
      </c>
      <c r="F47" s="1" t="str">
        <f>IFERROR(INDEX(Players!$I$4:$I$503,MATCH(44,Players!$L$4:$L$503,0)),"")</f>
        <v/>
      </c>
    </row>
    <row r="48" spans="1:6">
      <c r="A48" s="1" t="str">
        <f>IFERROR(INDEX(Players!$B$4:$B$503,MATCH(45,Players!$L$4:$L$503,0)),"")</f>
        <v/>
      </c>
      <c r="B48" s="1" t="str">
        <f>IFERROR(INDEX(Players!$C$4:$C$503,MATCH(45,Players!$L$4:$L$503,0)),"")</f>
        <v/>
      </c>
      <c r="C48" s="1" t="str">
        <f>IFERROR(INDEX(Players!$D$4:$D$503,MATCH(45,Players!$L$4:$L$503,0)),"")</f>
        <v/>
      </c>
      <c r="D48" s="7" t="str">
        <f>IFERROR(INDEX(Players!$E$4:$E$503,MATCH(45,Players!$L$4:$L$503,0)),"")</f>
        <v/>
      </c>
      <c r="E48" s="1" t="str">
        <f>IFERROR(INDEX(Players!$F$4:$F$503,MATCH(45,Players!$L$4:$L$503,0)),"")</f>
        <v/>
      </c>
      <c r="F48" s="1" t="str">
        <f>IFERROR(INDEX(Players!$I$4:$I$503,MATCH(45,Players!$L$4:$L$503,0)),"")</f>
        <v/>
      </c>
    </row>
    <row r="49" spans="1:6">
      <c r="A49" s="1" t="str">
        <f>IFERROR(INDEX(Players!$B$4:$B$503,MATCH(46,Players!$L$4:$L$503,0)),"")</f>
        <v/>
      </c>
      <c r="B49" s="1" t="str">
        <f>IFERROR(INDEX(Players!$C$4:$C$503,MATCH(46,Players!$L$4:$L$503,0)),"")</f>
        <v/>
      </c>
      <c r="C49" s="1" t="str">
        <f>IFERROR(INDEX(Players!$D$4:$D$503,MATCH(46,Players!$L$4:$L$503,0)),"")</f>
        <v/>
      </c>
      <c r="D49" s="7" t="str">
        <f>IFERROR(INDEX(Players!$E$4:$E$503,MATCH(46,Players!$L$4:$L$503,0)),"")</f>
        <v/>
      </c>
      <c r="E49" s="1" t="str">
        <f>IFERROR(INDEX(Players!$F$4:$F$503,MATCH(46,Players!$L$4:$L$503,0)),"")</f>
        <v/>
      </c>
      <c r="F49" s="1" t="str">
        <f>IFERROR(INDEX(Players!$I$4:$I$503,MATCH(46,Players!$L$4:$L$503,0)),"")</f>
        <v/>
      </c>
    </row>
    <row r="50" spans="1:6">
      <c r="A50" s="1" t="str">
        <f>IFERROR(INDEX(Players!$B$4:$B$503,MATCH(47,Players!$L$4:$L$503,0)),"")</f>
        <v/>
      </c>
      <c r="B50" s="1" t="str">
        <f>IFERROR(INDEX(Players!$C$4:$C$503,MATCH(47,Players!$L$4:$L$503,0)),"")</f>
        <v/>
      </c>
      <c r="C50" s="1" t="str">
        <f>IFERROR(INDEX(Players!$D$4:$D$503,MATCH(47,Players!$L$4:$L$503,0)),"")</f>
        <v/>
      </c>
      <c r="D50" s="7" t="str">
        <f>IFERROR(INDEX(Players!$E$4:$E$503,MATCH(47,Players!$L$4:$L$503,0)),"")</f>
        <v/>
      </c>
      <c r="E50" s="1" t="str">
        <f>IFERROR(INDEX(Players!$F$4:$F$503,MATCH(47,Players!$L$4:$L$503,0)),"")</f>
        <v/>
      </c>
      <c r="F50" s="1" t="str">
        <f>IFERROR(INDEX(Players!$I$4:$I$503,MATCH(47,Players!$L$4:$L$503,0)),"")</f>
        <v/>
      </c>
    </row>
    <row r="51" spans="1:6">
      <c r="A51" s="1" t="str">
        <f>IFERROR(INDEX(Players!$B$4:$B$503,MATCH(48,Players!$L$4:$L$503,0)),"")</f>
        <v/>
      </c>
      <c r="B51" s="1" t="str">
        <f>IFERROR(INDEX(Players!$C$4:$C$503,MATCH(48,Players!$L$4:$L$503,0)),"")</f>
        <v/>
      </c>
      <c r="C51" s="1" t="str">
        <f>IFERROR(INDEX(Players!$D$4:$D$503,MATCH(48,Players!$L$4:$L$503,0)),"")</f>
        <v/>
      </c>
      <c r="D51" s="7" t="str">
        <f>IFERROR(INDEX(Players!$E$4:$E$503,MATCH(48,Players!$L$4:$L$503,0)),"")</f>
        <v/>
      </c>
      <c r="E51" s="1" t="str">
        <f>IFERROR(INDEX(Players!$F$4:$F$503,MATCH(48,Players!$L$4:$L$503,0)),"")</f>
        <v/>
      </c>
      <c r="F51" s="1" t="str">
        <f>IFERROR(INDEX(Players!$I$4:$I$503,MATCH(48,Players!$L$4:$L$503,0)),"")</f>
        <v/>
      </c>
    </row>
    <row r="52" spans="1:6">
      <c r="A52" s="1" t="str">
        <f>IFERROR(INDEX(Players!$B$4:$B$503,MATCH(49,Players!$L$4:$L$503,0)),"")</f>
        <v/>
      </c>
      <c r="B52" s="1" t="str">
        <f>IFERROR(INDEX(Players!$C$4:$C$503,MATCH(49,Players!$L$4:$L$503,0)),"")</f>
        <v/>
      </c>
      <c r="C52" s="1" t="str">
        <f>IFERROR(INDEX(Players!$D$4:$D$503,MATCH(49,Players!$L$4:$L$503,0)),"")</f>
        <v/>
      </c>
      <c r="D52" s="7" t="str">
        <f>IFERROR(INDEX(Players!$E$4:$E$503,MATCH(49,Players!$L$4:$L$503,0)),"")</f>
        <v/>
      </c>
      <c r="E52" s="1" t="str">
        <f>IFERROR(INDEX(Players!$F$4:$F$503,MATCH(49,Players!$L$4:$L$503,0)),"")</f>
        <v/>
      </c>
      <c r="F52" s="1" t="str">
        <f>IFERROR(INDEX(Players!$I$4:$I$503,MATCH(49,Players!$L$4:$L$503,0)),"")</f>
        <v/>
      </c>
    </row>
    <row r="53" spans="1:6">
      <c r="A53" s="1" t="str">
        <f>IFERROR(INDEX(Players!$B$4:$B$503,MATCH(50,Players!$L$4:$L$503,0)),"")</f>
        <v/>
      </c>
      <c r="B53" s="1" t="str">
        <f>IFERROR(INDEX(Players!$C$4:$C$503,MATCH(50,Players!$L$4:$L$503,0)),"")</f>
        <v/>
      </c>
      <c r="C53" s="1" t="str">
        <f>IFERROR(INDEX(Players!$D$4:$D$503,MATCH(50,Players!$L$4:$L$503,0)),"")</f>
        <v/>
      </c>
      <c r="D53" s="7" t="str">
        <f>IFERROR(INDEX(Players!$E$4:$E$503,MATCH(50,Players!$L$4:$L$503,0)),"")</f>
        <v/>
      </c>
      <c r="E53" s="1" t="str">
        <f>IFERROR(INDEX(Players!$F$4:$F$503,MATCH(50,Players!$L$4:$L$503,0)),"")</f>
        <v/>
      </c>
      <c r="F53" s="1" t="str">
        <f>IFERROR(INDEX(Players!$I$4:$I$503,MATCH(50,Players!$L$4:$L$503,0)),"")</f>
        <v/>
      </c>
    </row>
    <row r="54" spans="1:6">
      <c r="A54" s="1" t="str">
        <f>IFERROR(INDEX(Players!$B$4:$B$503,MATCH(51,Players!$L$4:$L$503,0)),"")</f>
        <v/>
      </c>
      <c r="B54" s="1" t="str">
        <f>IFERROR(INDEX(Players!$C$4:$C$503,MATCH(51,Players!$L$4:$L$503,0)),"")</f>
        <v/>
      </c>
      <c r="C54" s="1" t="str">
        <f>IFERROR(INDEX(Players!$D$4:$D$503,MATCH(51,Players!$L$4:$L$503,0)),"")</f>
        <v/>
      </c>
      <c r="D54" s="7" t="str">
        <f>IFERROR(INDEX(Players!$E$4:$E$503,MATCH(51,Players!$L$4:$L$503,0)),"")</f>
        <v/>
      </c>
      <c r="E54" s="1" t="str">
        <f>IFERROR(INDEX(Players!$F$4:$F$503,MATCH(51,Players!$L$4:$L$503,0)),"")</f>
        <v/>
      </c>
      <c r="F54" s="1" t="str">
        <f>IFERROR(INDEX(Players!$I$4:$I$503,MATCH(51,Players!$L$4:$L$503,0)),"")</f>
        <v/>
      </c>
    </row>
    <row r="55" spans="1:6">
      <c r="A55" s="1" t="str">
        <f>IFERROR(INDEX(Players!$B$4:$B$503,MATCH(52,Players!$L$4:$L$503,0)),"")</f>
        <v/>
      </c>
      <c r="B55" s="1" t="str">
        <f>IFERROR(INDEX(Players!$C$4:$C$503,MATCH(52,Players!$L$4:$L$503,0)),"")</f>
        <v/>
      </c>
      <c r="C55" s="1" t="str">
        <f>IFERROR(INDEX(Players!$D$4:$D$503,MATCH(52,Players!$L$4:$L$503,0)),"")</f>
        <v/>
      </c>
      <c r="D55" s="7" t="str">
        <f>IFERROR(INDEX(Players!$E$4:$E$503,MATCH(52,Players!$L$4:$L$503,0)),"")</f>
        <v/>
      </c>
      <c r="E55" s="1" t="str">
        <f>IFERROR(INDEX(Players!$F$4:$F$503,MATCH(52,Players!$L$4:$L$503,0)),"")</f>
        <v/>
      </c>
      <c r="F55" s="1" t="str">
        <f>IFERROR(INDEX(Players!$I$4:$I$503,MATCH(52,Players!$L$4:$L$503,0)),"")</f>
        <v/>
      </c>
    </row>
    <row r="56" spans="1:6">
      <c r="A56" s="1" t="str">
        <f>IFERROR(INDEX(Players!$B$4:$B$503,MATCH(53,Players!$L$4:$L$503,0)),"")</f>
        <v/>
      </c>
      <c r="B56" s="1" t="str">
        <f>IFERROR(INDEX(Players!$C$4:$C$503,MATCH(53,Players!$L$4:$L$503,0)),"")</f>
        <v/>
      </c>
      <c r="C56" s="1" t="str">
        <f>IFERROR(INDEX(Players!$D$4:$D$503,MATCH(53,Players!$L$4:$L$503,0)),"")</f>
        <v/>
      </c>
      <c r="D56" s="7" t="str">
        <f>IFERROR(INDEX(Players!$E$4:$E$503,MATCH(53,Players!$L$4:$L$503,0)),"")</f>
        <v/>
      </c>
      <c r="E56" s="1" t="str">
        <f>IFERROR(INDEX(Players!$F$4:$F$503,MATCH(53,Players!$L$4:$L$503,0)),"")</f>
        <v/>
      </c>
      <c r="F56" s="1" t="str">
        <f>IFERROR(INDEX(Players!$I$4:$I$503,MATCH(53,Players!$L$4:$L$503,0)),"")</f>
        <v/>
      </c>
    </row>
    <row r="57" spans="1:6">
      <c r="A57" s="1" t="str">
        <f>IFERROR(INDEX(Players!$B$4:$B$503,MATCH(54,Players!$L$4:$L$503,0)),"")</f>
        <v/>
      </c>
      <c r="B57" s="1" t="str">
        <f>IFERROR(INDEX(Players!$C$4:$C$503,MATCH(54,Players!$L$4:$L$503,0)),"")</f>
        <v/>
      </c>
      <c r="C57" s="1" t="str">
        <f>IFERROR(INDEX(Players!$D$4:$D$503,MATCH(54,Players!$L$4:$L$503,0)),"")</f>
        <v/>
      </c>
      <c r="D57" s="7" t="str">
        <f>IFERROR(INDEX(Players!$E$4:$E$503,MATCH(54,Players!$L$4:$L$503,0)),"")</f>
        <v/>
      </c>
      <c r="E57" s="1" t="str">
        <f>IFERROR(INDEX(Players!$F$4:$F$503,MATCH(54,Players!$L$4:$L$503,0)),"")</f>
        <v/>
      </c>
      <c r="F57" s="1" t="str">
        <f>IFERROR(INDEX(Players!$I$4:$I$503,MATCH(54,Players!$L$4:$L$503,0)),"")</f>
        <v/>
      </c>
    </row>
    <row r="58" spans="1:6">
      <c r="A58" s="1" t="str">
        <f>IFERROR(INDEX(Players!$B$4:$B$503,MATCH(55,Players!$L$4:$L$503,0)),"")</f>
        <v/>
      </c>
      <c r="B58" s="1" t="str">
        <f>IFERROR(INDEX(Players!$C$4:$C$503,MATCH(55,Players!$L$4:$L$503,0)),"")</f>
        <v/>
      </c>
      <c r="C58" s="1" t="str">
        <f>IFERROR(INDEX(Players!$D$4:$D$503,MATCH(55,Players!$L$4:$L$503,0)),"")</f>
        <v/>
      </c>
      <c r="D58" s="7" t="str">
        <f>IFERROR(INDEX(Players!$E$4:$E$503,MATCH(55,Players!$L$4:$L$503,0)),"")</f>
        <v/>
      </c>
      <c r="E58" s="1" t="str">
        <f>IFERROR(INDEX(Players!$F$4:$F$503,MATCH(55,Players!$L$4:$L$503,0)),"")</f>
        <v/>
      </c>
      <c r="F58" s="1" t="str">
        <f>IFERROR(INDEX(Players!$I$4:$I$503,MATCH(55,Players!$L$4:$L$503,0)),"")</f>
        <v/>
      </c>
    </row>
    <row r="59" spans="1:6">
      <c r="A59" s="1" t="str">
        <f>IFERROR(INDEX(Players!$B$4:$B$503,MATCH(56,Players!$L$4:$L$503,0)),"")</f>
        <v/>
      </c>
      <c r="B59" s="1" t="str">
        <f>IFERROR(INDEX(Players!$C$4:$C$503,MATCH(56,Players!$L$4:$L$503,0)),"")</f>
        <v/>
      </c>
      <c r="C59" s="1" t="str">
        <f>IFERROR(INDEX(Players!$D$4:$D$503,MATCH(56,Players!$L$4:$L$503,0)),"")</f>
        <v/>
      </c>
      <c r="D59" s="7" t="str">
        <f>IFERROR(INDEX(Players!$E$4:$E$503,MATCH(56,Players!$L$4:$L$503,0)),"")</f>
        <v/>
      </c>
      <c r="E59" s="1" t="str">
        <f>IFERROR(INDEX(Players!$F$4:$F$503,MATCH(56,Players!$L$4:$L$503,0)),"")</f>
        <v/>
      </c>
      <c r="F59" s="1" t="str">
        <f>IFERROR(INDEX(Players!$I$4:$I$503,MATCH(56,Players!$L$4:$L$503,0)),"")</f>
        <v/>
      </c>
    </row>
    <row r="60" spans="1:6">
      <c r="A60" s="1" t="str">
        <f>IFERROR(INDEX(Players!$B$4:$B$503,MATCH(57,Players!$L$4:$L$503,0)),"")</f>
        <v/>
      </c>
      <c r="B60" s="1" t="str">
        <f>IFERROR(INDEX(Players!$C$4:$C$503,MATCH(57,Players!$L$4:$L$503,0)),"")</f>
        <v/>
      </c>
      <c r="C60" s="1" t="str">
        <f>IFERROR(INDEX(Players!$D$4:$D$503,MATCH(57,Players!$L$4:$L$503,0)),"")</f>
        <v/>
      </c>
      <c r="D60" s="7" t="str">
        <f>IFERROR(INDEX(Players!$E$4:$E$503,MATCH(57,Players!$L$4:$L$503,0)),"")</f>
        <v/>
      </c>
      <c r="E60" s="1" t="str">
        <f>IFERROR(INDEX(Players!$F$4:$F$503,MATCH(57,Players!$L$4:$L$503,0)),"")</f>
        <v/>
      </c>
      <c r="F60" s="1" t="str">
        <f>IFERROR(INDEX(Players!$I$4:$I$503,MATCH(57,Players!$L$4:$L$503,0)),"")</f>
        <v/>
      </c>
    </row>
    <row r="61" spans="1:6">
      <c r="A61" s="1" t="str">
        <f>IFERROR(INDEX(Players!$B$4:$B$503,MATCH(58,Players!$L$4:$L$503,0)),"")</f>
        <v/>
      </c>
      <c r="B61" s="1" t="str">
        <f>IFERROR(INDEX(Players!$C$4:$C$503,MATCH(58,Players!$L$4:$L$503,0)),"")</f>
        <v/>
      </c>
      <c r="C61" s="1" t="str">
        <f>IFERROR(INDEX(Players!$D$4:$D$503,MATCH(58,Players!$L$4:$L$503,0)),"")</f>
        <v/>
      </c>
      <c r="D61" s="7" t="str">
        <f>IFERROR(INDEX(Players!$E$4:$E$503,MATCH(58,Players!$L$4:$L$503,0)),"")</f>
        <v/>
      </c>
      <c r="E61" s="1" t="str">
        <f>IFERROR(INDEX(Players!$F$4:$F$503,MATCH(58,Players!$L$4:$L$503,0)),"")</f>
        <v/>
      </c>
      <c r="F61" s="1" t="str">
        <f>IFERROR(INDEX(Players!$I$4:$I$503,MATCH(58,Players!$L$4:$L$503,0)),"")</f>
        <v/>
      </c>
    </row>
    <row r="62" spans="1:6">
      <c r="A62" s="1" t="str">
        <f>IFERROR(INDEX(Players!$B$4:$B$503,MATCH(59,Players!$L$4:$L$503,0)),"")</f>
        <v/>
      </c>
      <c r="B62" s="1" t="str">
        <f>IFERROR(INDEX(Players!$C$4:$C$503,MATCH(59,Players!$L$4:$L$503,0)),"")</f>
        <v/>
      </c>
      <c r="C62" s="1" t="str">
        <f>IFERROR(INDEX(Players!$D$4:$D$503,MATCH(59,Players!$L$4:$L$503,0)),"")</f>
        <v/>
      </c>
      <c r="D62" s="7" t="str">
        <f>IFERROR(INDEX(Players!$E$4:$E$503,MATCH(59,Players!$L$4:$L$503,0)),"")</f>
        <v/>
      </c>
      <c r="E62" s="1" t="str">
        <f>IFERROR(INDEX(Players!$F$4:$F$503,MATCH(59,Players!$L$4:$L$503,0)),"")</f>
        <v/>
      </c>
      <c r="F62" s="1" t="str">
        <f>IFERROR(INDEX(Players!$I$4:$I$503,MATCH(59,Players!$L$4:$L$503,0)),"")</f>
        <v/>
      </c>
    </row>
    <row r="63" spans="1:6">
      <c r="A63" s="1" t="str">
        <f>IFERROR(INDEX(Players!$B$4:$B$503,MATCH(60,Players!$L$4:$L$503,0)),"")</f>
        <v/>
      </c>
      <c r="B63" s="1" t="str">
        <f>IFERROR(INDEX(Players!$C$4:$C$503,MATCH(60,Players!$L$4:$L$503,0)),"")</f>
        <v/>
      </c>
      <c r="C63" s="1" t="str">
        <f>IFERROR(INDEX(Players!$D$4:$D$503,MATCH(60,Players!$L$4:$L$503,0)),"")</f>
        <v/>
      </c>
      <c r="D63" s="7" t="str">
        <f>IFERROR(INDEX(Players!$E$4:$E$503,MATCH(60,Players!$L$4:$L$503,0)),"")</f>
        <v/>
      </c>
      <c r="E63" s="1" t="str">
        <f>IFERROR(INDEX(Players!$F$4:$F$503,MATCH(60,Players!$L$4:$L$503,0)),"")</f>
        <v/>
      </c>
      <c r="F63" s="1" t="str">
        <f>IFERROR(INDEX(Players!$I$4:$I$503,MATCH(60,Players!$L$4:$L$503,0)),"")</f>
        <v/>
      </c>
    </row>
    <row r="64" spans="1:6">
      <c r="A64" s="1" t="str">
        <f>IFERROR(INDEX(Players!$B$4:$B$503,MATCH(61,Players!$L$4:$L$503,0)),"")</f>
        <v/>
      </c>
      <c r="B64" s="1" t="str">
        <f>IFERROR(INDEX(Players!$C$4:$C$503,MATCH(61,Players!$L$4:$L$503,0)),"")</f>
        <v/>
      </c>
      <c r="C64" s="1" t="str">
        <f>IFERROR(INDEX(Players!$D$4:$D$503,MATCH(61,Players!$L$4:$L$503,0)),"")</f>
        <v/>
      </c>
      <c r="D64" s="7" t="str">
        <f>IFERROR(INDEX(Players!$E$4:$E$503,MATCH(61,Players!$L$4:$L$503,0)),"")</f>
        <v/>
      </c>
      <c r="E64" s="1" t="str">
        <f>IFERROR(INDEX(Players!$F$4:$F$503,MATCH(61,Players!$L$4:$L$503,0)),"")</f>
        <v/>
      </c>
      <c r="F64" s="1" t="str">
        <f>IFERROR(INDEX(Players!$I$4:$I$503,MATCH(61,Players!$L$4:$L$503,0)),"")</f>
        <v/>
      </c>
    </row>
    <row r="65" spans="1:6">
      <c r="A65" s="1" t="str">
        <f>IFERROR(INDEX(Players!$B$4:$B$503,MATCH(62,Players!$L$4:$L$503,0)),"")</f>
        <v/>
      </c>
      <c r="B65" s="1" t="str">
        <f>IFERROR(INDEX(Players!$C$4:$C$503,MATCH(62,Players!$L$4:$L$503,0)),"")</f>
        <v/>
      </c>
      <c r="C65" s="1" t="str">
        <f>IFERROR(INDEX(Players!$D$4:$D$503,MATCH(62,Players!$L$4:$L$503,0)),"")</f>
        <v/>
      </c>
      <c r="D65" s="7" t="str">
        <f>IFERROR(INDEX(Players!$E$4:$E$503,MATCH(62,Players!$L$4:$L$503,0)),"")</f>
        <v/>
      </c>
      <c r="E65" s="1" t="str">
        <f>IFERROR(INDEX(Players!$F$4:$F$503,MATCH(62,Players!$L$4:$L$503,0)),"")</f>
        <v/>
      </c>
      <c r="F65" s="1" t="str">
        <f>IFERROR(INDEX(Players!$I$4:$I$503,MATCH(62,Players!$L$4:$L$503,0)),"")</f>
        <v/>
      </c>
    </row>
    <row r="66" spans="1:6">
      <c r="A66" s="1" t="str">
        <f>IFERROR(INDEX(Players!$B$4:$B$503,MATCH(63,Players!$L$4:$L$503,0)),"")</f>
        <v/>
      </c>
      <c r="B66" s="1" t="str">
        <f>IFERROR(INDEX(Players!$C$4:$C$503,MATCH(63,Players!$L$4:$L$503,0)),"")</f>
        <v/>
      </c>
      <c r="C66" s="1" t="str">
        <f>IFERROR(INDEX(Players!$D$4:$D$503,MATCH(63,Players!$L$4:$L$503,0)),"")</f>
        <v/>
      </c>
      <c r="D66" s="7" t="str">
        <f>IFERROR(INDEX(Players!$E$4:$E$503,MATCH(63,Players!$L$4:$L$503,0)),"")</f>
        <v/>
      </c>
      <c r="E66" s="1" t="str">
        <f>IFERROR(INDEX(Players!$F$4:$F$503,MATCH(63,Players!$L$4:$L$503,0)),"")</f>
        <v/>
      </c>
      <c r="F66" s="1" t="str">
        <f>IFERROR(INDEX(Players!$I$4:$I$503,MATCH(63,Players!$L$4:$L$503,0)),"")</f>
        <v/>
      </c>
    </row>
    <row r="67" spans="1:6">
      <c r="A67" s="1" t="str">
        <f>IFERROR(INDEX(Players!$B$4:$B$503,MATCH(64,Players!$L$4:$L$503,0)),"")</f>
        <v/>
      </c>
      <c r="B67" s="1" t="str">
        <f>IFERROR(INDEX(Players!$C$4:$C$503,MATCH(64,Players!$L$4:$L$503,0)),"")</f>
        <v/>
      </c>
      <c r="C67" s="1" t="str">
        <f>IFERROR(INDEX(Players!$D$4:$D$503,MATCH(64,Players!$L$4:$L$503,0)),"")</f>
        <v/>
      </c>
      <c r="D67" s="7" t="str">
        <f>IFERROR(INDEX(Players!$E$4:$E$503,MATCH(64,Players!$L$4:$L$503,0)),"")</f>
        <v/>
      </c>
      <c r="E67" s="1" t="str">
        <f>IFERROR(INDEX(Players!$F$4:$F$503,MATCH(64,Players!$L$4:$L$503,0)),"")</f>
        <v/>
      </c>
      <c r="F67" s="1" t="str">
        <f>IFERROR(INDEX(Players!$I$4:$I$503,MATCH(64,Players!$L$4:$L$503,0)),"")</f>
        <v/>
      </c>
    </row>
    <row r="68" spans="1:6">
      <c r="A68" s="1" t="str">
        <f>IFERROR(INDEX(Players!$B$4:$B$503,MATCH(65,Players!$L$4:$L$503,0)),"")</f>
        <v/>
      </c>
      <c r="B68" s="1" t="str">
        <f>IFERROR(INDEX(Players!$C$4:$C$503,MATCH(65,Players!$L$4:$L$503,0)),"")</f>
        <v/>
      </c>
      <c r="C68" s="1" t="str">
        <f>IFERROR(INDEX(Players!$D$4:$D$503,MATCH(65,Players!$L$4:$L$503,0)),"")</f>
        <v/>
      </c>
      <c r="D68" s="7" t="str">
        <f>IFERROR(INDEX(Players!$E$4:$E$503,MATCH(65,Players!$L$4:$L$503,0)),"")</f>
        <v/>
      </c>
      <c r="E68" s="1" t="str">
        <f>IFERROR(INDEX(Players!$F$4:$F$503,MATCH(65,Players!$L$4:$L$503,0)),"")</f>
        <v/>
      </c>
      <c r="F68" s="1" t="str">
        <f>IFERROR(INDEX(Players!$I$4:$I$503,MATCH(65,Players!$L$4:$L$503,0)),"")</f>
        <v/>
      </c>
    </row>
    <row r="69" spans="1:6">
      <c r="A69" s="1" t="str">
        <f>IFERROR(INDEX(Players!$B$4:$B$503,MATCH(66,Players!$L$4:$L$503,0)),"")</f>
        <v/>
      </c>
      <c r="B69" s="1" t="str">
        <f>IFERROR(INDEX(Players!$C$4:$C$503,MATCH(66,Players!$L$4:$L$503,0)),"")</f>
        <v/>
      </c>
      <c r="C69" s="1" t="str">
        <f>IFERROR(INDEX(Players!$D$4:$D$503,MATCH(66,Players!$L$4:$L$503,0)),"")</f>
        <v/>
      </c>
      <c r="D69" s="7" t="str">
        <f>IFERROR(INDEX(Players!$E$4:$E$503,MATCH(66,Players!$L$4:$L$503,0)),"")</f>
        <v/>
      </c>
      <c r="E69" s="1" t="str">
        <f>IFERROR(INDEX(Players!$F$4:$F$503,MATCH(66,Players!$L$4:$L$503,0)),"")</f>
        <v/>
      </c>
      <c r="F69" s="1" t="str">
        <f>IFERROR(INDEX(Players!$I$4:$I$503,MATCH(66,Players!$L$4:$L$503,0)),"")</f>
        <v/>
      </c>
    </row>
    <row r="70" spans="1:6">
      <c r="A70" s="1" t="str">
        <f>IFERROR(INDEX(Players!$B$4:$B$503,MATCH(67,Players!$L$4:$L$503,0)),"")</f>
        <v/>
      </c>
      <c r="B70" s="1" t="str">
        <f>IFERROR(INDEX(Players!$C$4:$C$503,MATCH(67,Players!$L$4:$L$503,0)),"")</f>
        <v/>
      </c>
      <c r="C70" s="1" t="str">
        <f>IFERROR(INDEX(Players!$D$4:$D$503,MATCH(67,Players!$L$4:$L$503,0)),"")</f>
        <v/>
      </c>
      <c r="D70" s="7" t="str">
        <f>IFERROR(INDEX(Players!$E$4:$E$503,MATCH(67,Players!$L$4:$L$503,0)),"")</f>
        <v/>
      </c>
      <c r="E70" s="1" t="str">
        <f>IFERROR(INDEX(Players!$F$4:$F$503,MATCH(67,Players!$L$4:$L$503,0)),"")</f>
        <v/>
      </c>
      <c r="F70" s="1" t="str">
        <f>IFERROR(INDEX(Players!$I$4:$I$503,MATCH(67,Players!$L$4:$L$503,0)),"")</f>
        <v/>
      </c>
    </row>
    <row r="71" spans="1:6">
      <c r="A71" s="1" t="str">
        <f>IFERROR(INDEX(Players!$B$4:$B$503,MATCH(68,Players!$L$4:$L$503,0)),"")</f>
        <v/>
      </c>
      <c r="B71" s="1" t="str">
        <f>IFERROR(INDEX(Players!$C$4:$C$503,MATCH(68,Players!$L$4:$L$503,0)),"")</f>
        <v/>
      </c>
      <c r="C71" s="1" t="str">
        <f>IFERROR(INDEX(Players!$D$4:$D$503,MATCH(68,Players!$L$4:$L$503,0)),"")</f>
        <v/>
      </c>
      <c r="D71" s="7" t="str">
        <f>IFERROR(INDEX(Players!$E$4:$E$503,MATCH(68,Players!$L$4:$L$503,0)),"")</f>
        <v/>
      </c>
      <c r="E71" s="1" t="str">
        <f>IFERROR(INDEX(Players!$F$4:$F$503,MATCH(68,Players!$L$4:$L$503,0)),"")</f>
        <v/>
      </c>
      <c r="F71" s="1" t="str">
        <f>IFERROR(INDEX(Players!$I$4:$I$503,MATCH(68,Players!$L$4:$L$503,0)),"")</f>
        <v/>
      </c>
    </row>
    <row r="72" spans="1:6">
      <c r="A72" s="1" t="str">
        <f>IFERROR(INDEX(Players!$B$4:$B$503,MATCH(69,Players!$L$4:$L$503,0)),"")</f>
        <v/>
      </c>
      <c r="B72" s="1" t="str">
        <f>IFERROR(INDEX(Players!$C$4:$C$503,MATCH(69,Players!$L$4:$L$503,0)),"")</f>
        <v/>
      </c>
      <c r="C72" s="1" t="str">
        <f>IFERROR(INDEX(Players!$D$4:$D$503,MATCH(69,Players!$L$4:$L$503,0)),"")</f>
        <v/>
      </c>
      <c r="D72" s="7" t="str">
        <f>IFERROR(INDEX(Players!$E$4:$E$503,MATCH(69,Players!$L$4:$L$503,0)),"")</f>
        <v/>
      </c>
      <c r="E72" s="1" t="str">
        <f>IFERROR(INDEX(Players!$F$4:$F$503,MATCH(69,Players!$L$4:$L$503,0)),"")</f>
        <v/>
      </c>
      <c r="F72" s="1" t="str">
        <f>IFERROR(INDEX(Players!$I$4:$I$503,MATCH(69,Players!$L$4:$L$503,0)),"")</f>
        <v/>
      </c>
    </row>
    <row r="73" spans="1:6">
      <c r="A73" s="1" t="str">
        <f>IFERROR(INDEX(Players!$B$4:$B$503,MATCH(70,Players!$L$4:$L$503,0)),"")</f>
        <v/>
      </c>
      <c r="B73" s="1" t="str">
        <f>IFERROR(INDEX(Players!$C$4:$C$503,MATCH(70,Players!$L$4:$L$503,0)),"")</f>
        <v/>
      </c>
      <c r="C73" s="1" t="str">
        <f>IFERROR(INDEX(Players!$D$4:$D$503,MATCH(70,Players!$L$4:$L$503,0)),"")</f>
        <v/>
      </c>
      <c r="D73" s="7" t="str">
        <f>IFERROR(INDEX(Players!$E$4:$E$503,MATCH(70,Players!$L$4:$L$503,0)),"")</f>
        <v/>
      </c>
      <c r="E73" s="1" t="str">
        <f>IFERROR(INDEX(Players!$F$4:$F$503,MATCH(70,Players!$L$4:$L$503,0)),"")</f>
        <v/>
      </c>
      <c r="F73" s="1" t="str">
        <f>IFERROR(INDEX(Players!$I$4:$I$503,MATCH(70,Players!$L$4:$L$503,0)),"")</f>
        <v/>
      </c>
    </row>
    <row r="74" spans="1:6">
      <c r="A74" s="1" t="str">
        <f>IFERROR(INDEX(Players!$B$4:$B$503,MATCH(71,Players!$L$4:$L$503,0)),"")</f>
        <v/>
      </c>
      <c r="B74" s="1" t="str">
        <f>IFERROR(INDEX(Players!$C$4:$C$503,MATCH(71,Players!$L$4:$L$503,0)),"")</f>
        <v/>
      </c>
      <c r="C74" s="1" t="str">
        <f>IFERROR(INDEX(Players!$D$4:$D$503,MATCH(71,Players!$L$4:$L$503,0)),"")</f>
        <v/>
      </c>
      <c r="D74" s="7" t="str">
        <f>IFERROR(INDEX(Players!$E$4:$E$503,MATCH(71,Players!$L$4:$L$503,0)),"")</f>
        <v/>
      </c>
      <c r="E74" s="1" t="str">
        <f>IFERROR(INDEX(Players!$F$4:$F$503,MATCH(71,Players!$L$4:$L$503,0)),"")</f>
        <v/>
      </c>
      <c r="F74" s="1" t="str">
        <f>IFERROR(INDEX(Players!$I$4:$I$503,MATCH(71,Players!$L$4:$L$503,0)),"")</f>
        <v/>
      </c>
    </row>
    <row r="75" spans="1:6">
      <c r="A75" s="1" t="str">
        <f>IFERROR(INDEX(Players!$B$4:$B$503,MATCH(72,Players!$L$4:$L$503,0)),"")</f>
        <v/>
      </c>
      <c r="B75" s="1" t="str">
        <f>IFERROR(INDEX(Players!$C$4:$C$503,MATCH(72,Players!$L$4:$L$503,0)),"")</f>
        <v/>
      </c>
      <c r="C75" s="1" t="str">
        <f>IFERROR(INDEX(Players!$D$4:$D$503,MATCH(72,Players!$L$4:$L$503,0)),"")</f>
        <v/>
      </c>
      <c r="D75" s="7" t="str">
        <f>IFERROR(INDEX(Players!$E$4:$E$503,MATCH(72,Players!$L$4:$L$503,0)),"")</f>
        <v/>
      </c>
      <c r="E75" s="1" t="str">
        <f>IFERROR(INDEX(Players!$F$4:$F$503,MATCH(72,Players!$L$4:$L$503,0)),"")</f>
        <v/>
      </c>
      <c r="F75" s="1" t="str">
        <f>IFERROR(INDEX(Players!$I$4:$I$503,MATCH(72,Players!$L$4:$L$503,0)),"")</f>
        <v/>
      </c>
    </row>
    <row r="76" spans="1:6">
      <c r="A76" s="1" t="str">
        <f>IFERROR(INDEX(Players!$B$4:$B$503,MATCH(73,Players!$L$4:$L$503,0)),"")</f>
        <v/>
      </c>
      <c r="B76" s="1" t="str">
        <f>IFERROR(INDEX(Players!$C$4:$C$503,MATCH(73,Players!$L$4:$L$503,0)),"")</f>
        <v/>
      </c>
      <c r="C76" s="1" t="str">
        <f>IFERROR(INDEX(Players!$D$4:$D$503,MATCH(73,Players!$L$4:$L$503,0)),"")</f>
        <v/>
      </c>
      <c r="D76" s="7" t="str">
        <f>IFERROR(INDEX(Players!$E$4:$E$503,MATCH(73,Players!$L$4:$L$503,0)),"")</f>
        <v/>
      </c>
      <c r="E76" s="1" t="str">
        <f>IFERROR(INDEX(Players!$F$4:$F$503,MATCH(73,Players!$L$4:$L$503,0)),"")</f>
        <v/>
      </c>
      <c r="F76" s="1" t="str">
        <f>IFERROR(INDEX(Players!$I$4:$I$503,MATCH(73,Players!$L$4:$L$503,0)),"")</f>
        <v/>
      </c>
    </row>
    <row r="77" spans="1:6">
      <c r="A77" s="1" t="str">
        <f>IFERROR(INDEX(Players!$B$4:$B$503,MATCH(74,Players!$L$4:$L$503,0)),"")</f>
        <v/>
      </c>
      <c r="B77" s="1" t="str">
        <f>IFERROR(INDEX(Players!$C$4:$C$503,MATCH(74,Players!$L$4:$L$503,0)),"")</f>
        <v/>
      </c>
      <c r="C77" s="1" t="str">
        <f>IFERROR(INDEX(Players!$D$4:$D$503,MATCH(74,Players!$L$4:$L$503,0)),"")</f>
        <v/>
      </c>
      <c r="D77" s="7" t="str">
        <f>IFERROR(INDEX(Players!$E$4:$E$503,MATCH(74,Players!$L$4:$L$503,0)),"")</f>
        <v/>
      </c>
      <c r="E77" s="1" t="str">
        <f>IFERROR(INDEX(Players!$F$4:$F$503,MATCH(74,Players!$L$4:$L$503,0)),"")</f>
        <v/>
      </c>
      <c r="F77" s="1" t="str">
        <f>IFERROR(INDEX(Players!$I$4:$I$503,MATCH(74,Players!$L$4:$L$503,0)),"")</f>
        <v/>
      </c>
    </row>
    <row r="78" spans="1:6">
      <c r="A78" s="1" t="str">
        <f>IFERROR(INDEX(Players!$B$4:$B$503,MATCH(75,Players!$L$4:$L$503,0)),"")</f>
        <v/>
      </c>
      <c r="B78" s="1" t="str">
        <f>IFERROR(INDEX(Players!$C$4:$C$503,MATCH(75,Players!$L$4:$L$503,0)),"")</f>
        <v/>
      </c>
      <c r="C78" s="1" t="str">
        <f>IFERROR(INDEX(Players!$D$4:$D$503,MATCH(75,Players!$L$4:$L$503,0)),"")</f>
        <v/>
      </c>
      <c r="D78" s="7" t="str">
        <f>IFERROR(INDEX(Players!$E$4:$E$503,MATCH(75,Players!$L$4:$L$503,0)),"")</f>
        <v/>
      </c>
      <c r="E78" s="1" t="str">
        <f>IFERROR(INDEX(Players!$F$4:$F$503,MATCH(75,Players!$L$4:$L$503,0)),"")</f>
        <v/>
      </c>
      <c r="F78" s="1" t="str">
        <f>IFERROR(INDEX(Players!$I$4:$I$503,MATCH(75,Players!$L$4:$L$503,0)),"")</f>
        <v/>
      </c>
    </row>
    <row r="79" spans="1:6">
      <c r="A79" s="1" t="str">
        <f>IFERROR(INDEX(Players!$B$4:$B$503,MATCH(76,Players!$L$4:$L$503,0)),"")</f>
        <v/>
      </c>
      <c r="B79" s="1" t="str">
        <f>IFERROR(INDEX(Players!$C$4:$C$503,MATCH(76,Players!$L$4:$L$503,0)),"")</f>
        <v/>
      </c>
      <c r="C79" s="1" t="str">
        <f>IFERROR(INDEX(Players!$D$4:$D$503,MATCH(76,Players!$L$4:$L$503,0)),"")</f>
        <v/>
      </c>
      <c r="D79" s="7" t="str">
        <f>IFERROR(INDEX(Players!$E$4:$E$503,MATCH(76,Players!$L$4:$L$503,0)),"")</f>
        <v/>
      </c>
      <c r="E79" s="1" t="str">
        <f>IFERROR(INDEX(Players!$F$4:$F$503,MATCH(76,Players!$L$4:$L$503,0)),"")</f>
        <v/>
      </c>
      <c r="F79" s="1" t="str">
        <f>IFERROR(INDEX(Players!$I$4:$I$503,MATCH(76,Players!$L$4:$L$503,0)),"")</f>
        <v/>
      </c>
    </row>
    <row r="80" spans="1:6">
      <c r="A80" s="1" t="str">
        <f>IFERROR(INDEX(Players!$B$4:$B$503,MATCH(77,Players!$L$4:$L$503,0)),"")</f>
        <v/>
      </c>
      <c r="B80" s="1" t="str">
        <f>IFERROR(INDEX(Players!$C$4:$C$503,MATCH(77,Players!$L$4:$L$503,0)),"")</f>
        <v/>
      </c>
      <c r="C80" s="1" t="str">
        <f>IFERROR(INDEX(Players!$D$4:$D$503,MATCH(77,Players!$L$4:$L$503,0)),"")</f>
        <v/>
      </c>
      <c r="D80" s="7" t="str">
        <f>IFERROR(INDEX(Players!$E$4:$E$503,MATCH(77,Players!$L$4:$L$503,0)),"")</f>
        <v/>
      </c>
      <c r="E80" s="1" t="str">
        <f>IFERROR(INDEX(Players!$F$4:$F$503,MATCH(77,Players!$L$4:$L$503,0)),"")</f>
        <v/>
      </c>
      <c r="F80" s="1" t="str">
        <f>IFERROR(INDEX(Players!$I$4:$I$503,MATCH(77,Players!$L$4:$L$503,0)),"")</f>
        <v/>
      </c>
    </row>
    <row r="81" spans="1:6">
      <c r="A81" s="1" t="str">
        <f>IFERROR(INDEX(Players!$B$4:$B$503,MATCH(78,Players!$L$4:$L$503,0)),"")</f>
        <v/>
      </c>
      <c r="B81" s="1" t="str">
        <f>IFERROR(INDEX(Players!$C$4:$C$503,MATCH(78,Players!$L$4:$L$503,0)),"")</f>
        <v/>
      </c>
      <c r="C81" s="1" t="str">
        <f>IFERROR(INDEX(Players!$D$4:$D$503,MATCH(78,Players!$L$4:$L$503,0)),"")</f>
        <v/>
      </c>
      <c r="D81" s="7" t="str">
        <f>IFERROR(INDEX(Players!$E$4:$E$503,MATCH(78,Players!$L$4:$L$503,0)),"")</f>
        <v/>
      </c>
      <c r="E81" s="1" t="str">
        <f>IFERROR(INDEX(Players!$F$4:$F$503,MATCH(78,Players!$L$4:$L$503,0)),"")</f>
        <v/>
      </c>
      <c r="F81" s="1" t="str">
        <f>IFERROR(INDEX(Players!$I$4:$I$503,MATCH(78,Players!$L$4:$L$503,0)),"")</f>
        <v/>
      </c>
    </row>
    <row r="82" spans="1:6">
      <c r="A82" s="1" t="str">
        <f>IFERROR(INDEX(Players!$B$4:$B$503,MATCH(79,Players!$L$4:$L$503,0)),"")</f>
        <v/>
      </c>
      <c r="B82" s="1" t="str">
        <f>IFERROR(INDEX(Players!$C$4:$C$503,MATCH(79,Players!$L$4:$L$503,0)),"")</f>
        <v/>
      </c>
      <c r="C82" s="1" t="str">
        <f>IFERROR(INDEX(Players!$D$4:$D$503,MATCH(79,Players!$L$4:$L$503,0)),"")</f>
        <v/>
      </c>
      <c r="D82" s="7" t="str">
        <f>IFERROR(INDEX(Players!$E$4:$E$503,MATCH(79,Players!$L$4:$L$503,0)),"")</f>
        <v/>
      </c>
      <c r="E82" s="1" t="str">
        <f>IFERROR(INDEX(Players!$F$4:$F$503,MATCH(79,Players!$L$4:$L$503,0)),"")</f>
        <v/>
      </c>
      <c r="F82" s="1" t="str">
        <f>IFERROR(INDEX(Players!$I$4:$I$503,MATCH(79,Players!$L$4:$L$503,0)),"")</f>
        <v/>
      </c>
    </row>
    <row r="83" spans="1:6">
      <c r="A83" s="1" t="str">
        <f>IFERROR(INDEX(Players!$B$4:$B$503,MATCH(80,Players!$L$4:$L$503,0)),"")</f>
        <v/>
      </c>
      <c r="B83" s="1" t="str">
        <f>IFERROR(INDEX(Players!$C$4:$C$503,MATCH(80,Players!$L$4:$L$503,0)),"")</f>
        <v/>
      </c>
      <c r="C83" s="1" t="str">
        <f>IFERROR(INDEX(Players!$D$4:$D$503,MATCH(80,Players!$L$4:$L$503,0)),"")</f>
        <v/>
      </c>
      <c r="D83" s="7" t="str">
        <f>IFERROR(INDEX(Players!$E$4:$E$503,MATCH(80,Players!$L$4:$L$503,0)),"")</f>
        <v/>
      </c>
      <c r="E83" s="1" t="str">
        <f>IFERROR(INDEX(Players!$F$4:$F$503,MATCH(80,Players!$L$4:$L$503,0)),"")</f>
        <v/>
      </c>
      <c r="F83" s="1" t="str">
        <f>IFERROR(INDEX(Players!$I$4:$I$503,MATCH(80,Players!$L$4:$L$503,0)),"")</f>
        <v/>
      </c>
    </row>
    <row r="84" spans="1:6">
      <c r="A84" s="1" t="str">
        <f>IFERROR(INDEX(Players!$B$4:$B$503,MATCH(81,Players!$L$4:$L$503,0)),"")</f>
        <v/>
      </c>
      <c r="B84" s="1" t="str">
        <f>IFERROR(INDEX(Players!$C$4:$C$503,MATCH(81,Players!$L$4:$L$503,0)),"")</f>
        <v/>
      </c>
      <c r="C84" s="1" t="str">
        <f>IFERROR(INDEX(Players!$D$4:$D$503,MATCH(81,Players!$L$4:$L$503,0)),"")</f>
        <v/>
      </c>
      <c r="D84" s="7" t="str">
        <f>IFERROR(INDEX(Players!$E$4:$E$503,MATCH(81,Players!$L$4:$L$503,0)),"")</f>
        <v/>
      </c>
      <c r="E84" s="1" t="str">
        <f>IFERROR(INDEX(Players!$F$4:$F$503,MATCH(81,Players!$L$4:$L$503,0)),"")</f>
        <v/>
      </c>
      <c r="F84" s="1" t="str">
        <f>IFERROR(INDEX(Players!$I$4:$I$503,MATCH(81,Players!$L$4:$L$503,0)),"")</f>
        <v/>
      </c>
    </row>
    <row r="85" spans="1:6">
      <c r="A85" s="1" t="str">
        <f>IFERROR(INDEX(Players!$B$4:$B$503,MATCH(82,Players!$L$4:$L$503,0)),"")</f>
        <v/>
      </c>
      <c r="B85" s="1" t="str">
        <f>IFERROR(INDEX(Players!$C$4:$C$503,MATCH(82,Players!$L$4:$L$503,0)),"")</f>
        <v/>
      </c>
      <c r="C85" s="1" t="str">
        <f>IFERROR(INDEX(Players!$D$4:$D$503,MATCH(82,Players!$L$4:$L$503,0)),"")</f>
        <v/>
      </c>
      <c r="D85" s="7" t="str">
        <f>IFERROR(INDEX(Players!$E$4:$E$503,MATCH(82,Players!$L$4:$L$503,0)),"")</f>
        <v/>
      </c>
      <c r="E85" s="1" t="str">
        <f>IFERROR(INDEX(Players!$F$4:$F$503,MATCH(82,Players!$L$4:$L$503,0)),"")</f>
        <v/>
      </c>
      <c r="F85" s="1" t="str">
        <f>IFERROR(INDEX(Players!$I$4:$I$503,MATCH(82,Players!$L$4:$L$503,0)),"")</f>
        <v/>
      </c>
    </row>
    <row r="86" spans="1:6">
      <c r="A86" s="1" t="str">
        <f>IFERROR(INDEX(Players!$B$4:$B$503,MATCH(83,Players!$L$4:$L$503,0)),"")</f>
        <v/>
      </c>
      <c r="B86" s="1" t="str">
        <f>IFERROR(INDEX(Players!$C$4:$C$503,MATCH(83,Players!$L$4:$L$503,0)),"")</f>
        <v/>
      </c>
      <c r="C86" s="1" t="str">
        <f>IFERROR(INDEX(Players!$D$4:$D$503,MATCH(83,Players!$L$4:$L$503,0)),"")</f>
        <v/>
      </c>
      <c r="D86" s="7" t="str">
        <f>IFERROR(INDEX(Players!$E$4:$E$503,MATCH(83,Players!$L$4:$L$503,0)),"")</f>
        <v/>
      </c>
      <c r="E86" s="1" t="str">
        <f>IFERROR(INDEX(Players!$F$4:$F$503,MATCH(83,Players!$L$4:$L$503,0)),"")</f>
        <v/>
      </c>
      <c r="F86" s="1" t="str">
        <f>IFERROR(INDEX(Players!$I$4:$I$503,MATCH(83,Players!$L$4:$L$503,0)),"")</f>
        <v/>
      </c>
    </row>
    <row r="87" spans="1:6">
      <c r="A87" s="1" t="str">
        <f>IFERROR(INDEX(Players!$B$4:$B$503,MATCH(84,Players!$L$4:$L$503,0)),"")</f>
        <v/>
      </c>
      <c r="B87" s="1" t="str">
        <f>IFERROR(INDEX(Players!$C$4:$C$503,MATCH(84,Players!$L$4:$L$503,0)),"")</f>
        <v/>
      </c>
      <c r="C87" s="1" t="str">
        <f>IFERROR(INDEX(Players!$D$4:$D$503,MATCH(84,Players!$L$4:$L$503,0)),"")</f>
        <v/>
      </c>
      <c r="D87" s="7" t="str">
        <f>IFERROR(INDEX(Players!$E$4:$E$503,MATCH(84,Players!$L$4:$L$503,0)),"")</f>
        <v/>
      </c>
      <c r="E87" s="1" t="str">
        <f>IFERROR(INDEX(Players!$F$4:$F$503,MATCH(84,Players!$L$4:$L$503,0)),"")</f>
        <v/>
      </c>
      <c r="F87" s="1" t="str">
        <f>IFERROR(INDEX(Players!$I$4:$I$503,MATCH(84,Players!$L$4:$L$503,0)),"")</f>
        <v/>
      </c>
    </row>
    <row r="88" spans="1:6">
      <c r="A88" s="1" t="str">
        <f>IFERROR(INDEX(Players!$B$4:$B$503,MATCH(85,Players!$L$4:$L$503,0)),"")</f>
        <v/>
      </c>
      <c r="B88" s="1" t="str">
        <f>IFERROR(INDEX(Players!$C$4:$C$503,MATCH(85,Players!$L$4:$L$503,0)),"")</f>
        <v/>
      </c>
      <c r="C88" s="1" t="str">
        <f>IFERROR(INDEX(Players!$D$4:$D$503,MATCH(85,Players!$L$4:$L$503,0)),"")</f>
        <v/>
      </c>
      <c r="D88" s="7" t="str">
        <f>IFERROR(INDEX(Players!$E$4:$E$503,MATCH(85,Players!$L$4:$L$503,0)),"")</f>
        <v/>
      </c>
      <c r="E88" s="1" t="str">
        <f>IFERROR(INDEX(Players!$F$4:$F$503,MATCH(85,Players!$L$4:$L$503,0)),"")</f>
        <v/>
      </c>
      <c r="F88" s="1" t="str">
        <f>IFERROR(INDEX(Players!$I$4:$I$503,MATCH(85,Players!$L$4:$L$503,0)),"")</f>
        <v/>
      </c>
    </row>
    <row r="89" spans="1:6">
      <c r="A89" s="1" t="str">
        <f>IFERROR(INDEX(Players!$B$4:$B$503,MATCH(86,Players!$L$4:$L$503,0)),"")</f>
        <v/>
      </c>
      <c r="B89" s="1" t="str">
        <f>IFERROR(INDEX(Players!$C$4:$C$503,MATCH(86,Players!$L$4:$L$503,0)),"")</f>
        <v/>
      </c>
      <c r="C89" s="1" t="str">
        <f>IFERROR(INDEX(Players!$D$4:$D$503,MATCH(86,Players!$L$4:$L$503,0)),"")</f>
        <v/>
      </c>
      <c r="D89" s="7" t="str">
        <f>IFERROR(INDEX(Players!$E$4:$E$503,MATCH(86,Players!$L$4:$L$503,0)),"")</f>
        <v/>
      </c>
      <c r="E89" s="1" t="str">
        <f>IFERROR(INDEX(Players!$F$4:$F$503,MATCH(86,Players!$L$4:$L$503,0)),"")</f>
        <v/>
      </c>
      <c r="F89" s="1" t="str">
        <f>IFERROR(INDEX(Players!$I$4:$I$503,MATCH(86,Players!$L$4:$L$503,0)),"")</f>
        <v/>
      </c>
    </row>
    <row r="90" spans="1:6">
      <c r="A90" s="1" t="str">
        <f>IFERROR(INDEX(Players!$B$4:$B$503,MATCH(87,Players!$L$4:$L$503,0)),"")</f>
        <v/>
      </c>
      <c r="B90" s="1" t="str">
        <f>IFERROR(INDEX(Players!$C$4:$C$503,MATCH(87,Players!$L$4:$L$503,0)),"")</f>
        <v/>
      </c>
      <c r="C90" s="1" t="str">
        <f>IFERROR(INDEX(Players!$D$4:$D$503,MATCH(87,Players!$L$4:$L$503,0)),"")</f>
        <v/>
      </c>
      <c r="D90" s="7" t="str">
        <f>IFERROR(INDEX(Players!$E$4:$E$503,MATCH(87,Players!$L$4:$L$503,0)),"")</f>
        <v/>
      </c>
      <c r="E90" s="1" t="str">
        <f>IFERROR(INDEX(Players!$F$4:$F$503,MATCH(87,Players!$L$4:$L$503,0)),"")</f>
        <v/>
      </c>
      <c r="F90" s="1" t="str">
        <f>IFERROR(INDEX(Players!$I$4:$I$503,MATCH(87,Players!$L$4:$L$503,0)),"")</f>
        <v/>
      </c>
    </row>
    <row r="91" spans="1:6">
      <c r="A91" s="1" t="str">
        <f>IFERROR(INDEX(Players!$B$4:$B$503,MATCH(88,Players!$L$4:$L$503,0)),"")</f>
        <v/>
      </c>
      <c r="B91" s="1" t="str">
        <f>IFERROR(INDEX(Players!$C$4:$C$503,MATCH(88,Players!$L$4:$L$503,0)),"")</f>
        <v/>
      </c>
      <c r="C91" s="1" t="str">
        <f>IFERROR(INDEX(Players!$D$4:$D$503,MATCH(88,Players!$L$4:$L$503,0)),"")</f>
        <v/>
      </c>
      <c r="D91" s="7" t="str">
        <f>IFERROR(INDEX(Players!$E$4:$E$503,MATCH(88,Players!$L$4:$L$503,0)),"")</f>
        <v/>
      </c>
      <c r="E91" s="1" t="str">
        <f>IFERROR(INDEX(Players!$F$4:$F$503,MATCH(88,Players!$L$4:$L$503,0)),"")</f>
        <v/>
      </c>
      <c r="F91" s="1" t="str">
        <f>IFERROR(INDEX(Players!$I$4:$I$503,MATCH(88,Players!$L$4:$L$503,0)),"")</f>
        <v/>
      </c>
    </row>
    <row r="92" spans="1:6">
      <c r="A92" s="1" t="str">
        <f>IFERROR(INDEX(Players!$B$4:$B$503,MATCH(89,Players!$L$4:$L$503,0)),"")</f>
        <v/>
      </c>
      <c r="B92" s="1" t="str">
        <f>IFERROR(INDEX(Players!$C$4:$C$503,MATCH(89,Players!$L$4:$L$503,0)),"")</f>
        <v/>
      </c>
      <c r="C92" s="1" t="str">
        <f>IFERROR(INDEX(Players!$D$4:$D$503,MATCH(89,Players!$L$4:$L$503,0)),"")</f>
        <v/>
      </c>
      <c r="D92" s="7" t="str">
        <f>IFERROR(INDEX(Players!$E$4:$E$503,MATCH(89,Players!$L$4:$L$503,0)),"")</f>
        <v/>
      </c>
      <c r="E92" s="1" t="str">
        <f>IFERROR(INDEX(Players!$F$4:$F$503,MATCH(89,Players!$L$4:$L$503,0)),"")</f>
        <v/>
      </c>
      <c r="F92" s="1" t="str">
        <f>IFERROR(INDEX(Players!$I$4:$I$503,MATCH(89,Players!$L$4:$L$503,0)),"")</f>
        <v/>
      </c>
    </row>
    <row r="93" spans="1:6">
      <c r="A93" s="1" t="str">
        <f>IFERROR(INDEX(Players!$B$4:$B$503,MATCH(90,Players!$L$4:$L$503,0)),"")</f>
        <v/>
      </c>
      <c r="B93" s="1" t="str">
        <f>IFERROR(INDEX(Players!$C$4:$C$503,MATCH(90,Players!$L$4:$L$503,0)),"")</f>
        <v/>
      </c>
      <c r="C93" s="1" t="str">
        <f>IFERROR(INDEX(Players!$D$4:$D$503,MATCH(90,Players!$L$4:$L$503,0)),"")</f>
        <v/>
      </c>
      <c r="D93" s="7" t="str">
        <f>IFERROR(INDEX(Players!$E$4:$E$503,MATCH(90,Players!$L$4:$L$503,0)),"")</f>
        <v/>
      </c>
      <c r="E93" s="1" t="str">
        <f>IFERROR(INDEX(Players!$F$4:$F$503,MATCH(90,Players!$L$4:$L$503,0)),"")</f>
        <v/>
      </c>
      <c r="F93" s="1" t="str">
        <f>IFERROR(INDEX(Players!$I$4:$I$503,MATCH(90,Players!$L$4:$L$503,0)),"")</f>
        <v/>
      </c>
    </row>
    <row r="94" spans="1:6">
      <c r="A94" s="1" t="str">
        <f>IFERROR(INDEX(Players!$B$4:$B$503,MATCH(91,Players!$L$4:$L$503,0)),"")</f>
        <v/>
      </c>
      <c r="B94" s="1" t="str">
        <f>IFERROR(INDEX(Players!$C$4:$C$503,MATCH(91,Players!$L$4:$L$503,0)),"")</f>
        <v/>
      </c>
      <c r="C94" s="1" t="str">
        <f>IFERROR(INDEX(Players!$D$4:$D$503,MATCH(91,Players!$L$4:$L$503,0)),"")</f>
        <v/>
      </c>
      <c r="D94" s="7" t="str">
        <f>IFERROR(INDEX(Players!$E$4:$E$503,MATCH(91,Players!$L$4:$L$503,0)),"")</f>
        <v/>
      </c>
      <c r="E94" s="1" t="str">
        <f>IFERROR(INDEX(Players!$F$4:$F$503,MATCH(91,Players!$L$4:$L$503,0)),"")</f>
        <v/>
      </c>
      <c r="F94" s="1" t="str">
        <f>IFERROR(INDEX(Players!$I$4:$I$503,MATCH(91,Players!$L$4:$L$503,0)),"")</f>
        <v/>
      </c>
    </row>
    <row r="95" spans="1:6">
      <c r="A95" s="1" t="str">
        <f>IFERROR(INDEX(Players!$B$4:$B$503,MATCH(92,Players!$L$4:$L$503,0)),"")</f>
        <v/>
      </c>
      <c r="B95" s="1" t="str">
        <f>IFERROR(INDEX(Players!$C$4:$C$503,MATCH(92,Players!$L$4:$L$503,0)),"")</f>
        <v/>
      </c>
      <c r="C95" s="1" t="str">
        <f>IFERROR(INDEX(Players!$D$4:$D$503,MATCH(92,Players!$L$4:$L$503,0)),"")</f>
        <v/>
      </c>
      <c r="D95" s="7" t="str">
        <f>IFERROR(INDEX(Players!$E$4:$E$503,MATCH(92,Players!$L$4:$L$503,0)),"")</f>
        <v/>
      </c>
      <c r="E95" s="1" t="str">
        <f>IFERROR(INDEX(Players!$F$4:$F$503,MATCH(92,Players!$L$4:$L$503,0)),"")</f>
        <v/>
      </c>
      <c r="F95" s="1" t="str">
        <f>IFERROR(INDEX(Players!$I$4:$I$503,MATCH(92,Players!$L$4:$L$503,0)),"")</f>
        <v/>
      </c>
    </row>
    <row r="96" spans="1:6">
      <c r="A96" s="1" t="str">
        <f>IFERROR(INDEX(Players!$B$4:$B$503,MATCH(93,Players!$L$4:$L$503,0)),"")</f>
        <v/>
      </c>
      <c r="B96" s="1" t="str">
        <f>IFERROR(INDEX(Players!$C$4:$C$503,MATCH(93,Players!$L$4:$L$503,0)),"")</f>
        <v/>
      </c>
      <c r="C96" s="1" t="str">
        <f>IFERROR(INDEX(Players!$D$4:$D$503,MATCH(93,Players!$L$4:$L$503,0)),"")</f>
        <v/>
      </c>
      <c r="D96" s="7" t="str">
        <f>IFERROR(INDEX(Players!$E$4:$E$503,MATCH(93,Players!$L$4:$L$503,0)),"")</f>
        <v/>
      </c>
      <c r="E96" s="1" t="str">
        <f>IFERROR(INDEX(Players!$F$4:$F$503,MATCH(93,Players!$L$4:$L$503,0)),"")</f>
        <v/>
      </c>
      <c r="F96" s="1" t="str">
        <f>IFERROR(INDEX(Players!$I$4:$I$503,MATCH(93,Players!$L$4:$L$503,0)),"")</f>
        <v/>
      </c>
    </row>
    <row r="97" spans="1:6">
      <c r="A97" s="1" t="str">
        <f>IFERROR(INDEX(Players!$B$4:$B$503,MATCH(94,Players!$L$4:$L$503,0)),"")</f>
        <v/>
      </c>
      <c r="B97" s="1" t="str">
        <f>IFERROR(INDEX(Players!$C$4:$C$503,MATCH(94,Players!$L$4:$L$503,0)),"")</f>
        <v/>
      </c>
      <c r="C97" s="1" t="str">
        <f>IFERROR(INDEX(Players!$D$4:$D$503,MATCH(94,Players!$L$4:$L$503,0)),"")</f>
        <v/>
      </c>
      <c r="D97" s="7" t="str">
        <f>IFERROR(INDEX(Players!$E$4:$E$503,MATCH(94,Players!$L$4:$L$503,0)),"")</f>
        <v/>
      </c>
      <c r="E97" s="1" t="str">
        <f>IFERROR(INDEX(Players!$F$4:$F$503,MATCH(94,Players!$L$4:$L$503,0)),"")</f>
        <v/>
      </c>
      <c r="F97" s="1" t="str">
        <f>IFERROR(INDEX(Players!$I$4:$I$503,MATCH(94,Players!$L$4:$L$503,0)),"")</f>
        <v/>
      </c>
    </row>
    <row r="98" spans="1:6">
      <c r="A98" s="1" t="str">
        <f>IFERROR(INDEX(Players!$B$4:$B$503,MATCH(95,Players!$L$4:$L$503,0)),"")</f>
        <v/>
      </c>
      <c r="B98" s="1" t="str">
        <f>IFERROR(INDEX(Players!$C$4:$C$503,MATCH(95,Players!$L$4:$L$503,0)),"")</f>
        <v/>
      </c>
      <c r="C98" s="1" t="str">
        <f>IFERROR(INDEX(Players!$D$4:$D$503,MATCH(95,Players!$L$4:$L$503,0)),"")</f>
        <v/>
      </c>
      <c r="D98" s="7" t="str">
        <f>IFERROR(INDEX(Players!$E$4:$E$503,MATCH(95,Players!$L$4:$L$503,0)),"")</f>
        <v/>
      </c>
      <c r="E98" s="1" t="str">
        <f>IFERROR(INDEX(Players!$F$4:$F$503,MATCH(95,Players!$L$4:$L$503,0)),"")</f>
        <v/>
      </c>
      <c r="F98" s="1" t="str">
        <f>IFERROR(INDEX(Players!$I$4:$I$503,MATCH(95,Players!$L$4:$L$503,0)),"")</f>
        <v/>
      </c>
    </row>
    <row r="99" spans="1:6">
      <c r="A99" s="1" t="str">
        <f>IFERROR(INDEX(Players!$B$4:$B$503,MATCH(96,Players!$L$4:$L$503,0)),"")</f>
        <v/>
      </c>
      <c r="B99" s="1" t="str">
        <f>IFERROR(INDEX(Players!$C$4:$C$503,MATCH(96,Players!$L$4:$L$503,0)),"")</f>
        <v/>
      </c>
      <c r="C99" s="1" t="str">
        <f>IFERROR(INDEX(Players!$D$4:$D$503,MATCH(96,Players!$L$4:$L$503,0)),"")</f>
        <v/>
      </c>
      <c r="D99" s="7" t="str">
        <f>IFERROR(INDEX(Players!$E$4:$E$503,MATCH(96,Players!$L$4:$L$503,0)),"")</f>
        <v/>
      </c>
      <c r="E99" s="1" t="str">
        <f>IFERROR(INDEX(Players!$F$4:$F$503,MATCH(96,Players!$L$4:$L$503,0)),"")</f>
        <v/>
      </c>
      <c r="F99" s="1" t="str">
        <f>IFERROR(INDEX(Players!$I$4:$I$503,MATCH(96,Players!$L$4:$L$503,0)),"")</f>
        <v/>
      </c>
    </row>
    <row r="100" spans="1:6">
      <c r="A100" s="1" t="str">
        <f>IFERROR(INDEX(Players!$B$4:$B$503,MATCH(97,Players!$L$4:$L$503,0)),"")</f>
        <v/>
      </c>
      <c r="B100" s="1" t="str">
        <f>IFERROR(INDEX(Players!$C$4:$C$503,MATCH(97,Players!$L$4:$L$503,0)),"")</f>
        <v/>
      </c>
      <c r="C100" s="1" t="str">
        <f>IFERROR(INDEX(Players!$D$4:$D$503,MATCH(97,Players!$L$4:$L$503,0)),"")</f>
        <v/>
      </c>
      <c r="D100" s="7" t="str">
        <f>IFERROR(INDEX(Players!$E$4:$E$503,MATCH(97,Players!$L$4:$L$503,0)),"")</f>
        <v/>
      </c>
      <c r="E100" s="1" t="str">
        <f>IFERROR(INDEX(Players!$F$4:$F$503,MATCH(97,Players!$L$4:$L$503,0)),"")</f>
        <v/>
      </c>
      <c r="F100" s="1" t="str">
        <f>IFERROR(INDEX(Players!$I$4:$I$503,MATCH(97,Players!$L$4:$L$503,0)),"")</f>
        <v/>
      </c>
    </row>
    <row r="101" spans="1:6">
      <c r="A101" s="1" t="str">
        <f>IFERROR(INDEX(Players!$B$4:$B$503,MATCH(98,Players!$L$4:$L$503,0)),"")</f>
        <v/>
      </c>
      <c r="B101" s="1" t="str">
        <f>IFERROR(INDEX(Players!$C$4:$C$503,MATCH(98,Players!$L$4:$L$503,0)),"")</f>
        <v/>
      </c>
      <c r="C101" s="1" t="str">
        <f>IFERROR(INDEX(Players!$D$4:$D$503,MATCH(98,Players!$L$4:$L$503,0)),"")</f>
        <v/>
      </c>
      <c r="D101" s="7" t="str">
        <f>IFERROR(INDEX(Players!$E$4:$E$503,MATCH(98,Players!$L$4:$L$503,0)),"")</f>
        <v/>
      </c>
      <c r="E101" s="1" t="str">
        <f>IFERROR(INDEX(Players!$F$4:$F$503,MATCH(98,Players!$L$4:$L$503,0)),"")</f>
        <v/>
      </c>
      <c r="F101" s="1" t="str">
        <f>IFERROR(INDEX(Players!$I$4:$I$503,MATCH(98,Players!$L$4:$L$503,0)),"")</f>
        <v/>
      </c>
    </row>
    <row r="102" spans="1:6">
      <c r="A102" s="1" t="str">
        <f>IFERROR(INDEX(Players!$B$4:$B$503,MATCH(99,Players!$L$4:$L$503,0)),"")</f>
        <v/>
      </c>
      <c r="B102" s="1" t="str">
        <f>IFERROR(INDEX(Players!$C$4:$C$503,MATCH(99,Players!$L$4:$L$503,0)),"")</f>
        <v/>
      </c>
      <c r="C102" s="1" t="str">
        <f>IFERROR(INDEX(Players!$D$4:$D$503,MATCH(99,Players!$L$4:$L$503,0)),"")</f>
        <v/>
      </c>
      <c r="D102" s="7" t="str">
        <f>IFERROR(INDEX(Players!$E$4:$E$503,MATCH(99,Players!$L$4:$L$503,0)),"")</f>
        <v/>
      </c>
      <c r="E102" s="1" t="str">
        <f>IFERROR(INDEX(Players!$F$4:$F$503,MATCH(99,Players!$L$4:$L$503,0)),"")</f>
        <v/>
      </c>
      <c r="F102" s="1" t="str">
        <f>IFERROR(INDEX(Players!$I$4:$I$503,MATCH(99,Players!$L$4:$L$503,0)),"")</f>
        <v/>
      </c>
    </row>
    <row r="103" spans="1:6">
      <c r="A103" s="1" t="str">
        <f>IFERROR(INDEX(Players!$B$4:$B$503,MATCH(100,Players!$L$4:$L$503,0)),"")</f>
        <v/>
      </c>
      <c r="B103" s="1" t="str">
        <f>IFERROR(INDEX(Players!$C$4:$C$503,MATCH(100,Players!$L$4:$L$503,0)),"")</f>
        <v/>
      </c>
      <c r="C103" s="1" t="str">
        <f>IFERROR(INDEX(Players!$D$4:$D$503,MATCH(100,Players!$L$4:$L$503,0)),"")</f>
        <v/>
      </c>
      <c r="D103" s="7" t="str">
        <f>IFERROR(INDEX(Players!$E$4:$E$503,MATCH(100,Players!$L$4:$L$503,0)),"")</f>
        <v/>
      </c>
      <c r="E103" s="1" t="str">
        <f>IFERROR(INDEX(Players!$F$4:$F$503,MATCH(100,Players!$L$4:$L$503,0)),"")</f>
        <v/>
      </c>
      <c r="F103" s="1" t="str">
        <f>IFERROR(INDEX(Players!$I$4:$I$503,MATCH(100,Players!$L$4:$L$503,0)),"")</f>
        <v/>
      </c>
    </row>
    <row r="104" spans="1:6">
      <c r="A104" s="1" t="str">
        <f>IFERROR(INDEX(Players!$B$4:$B$503,MATCH(101,Players!$L$4:$L$503,0)),"")</f>
        <v/>
      </c>
      <c r="B104" s="1" t="str">
        <f>IFERROR(INDEX(Players!$C$4:$C$503,MATCH(101,Players!$L$4:$L$503,0)),"")</f>
        <v/>
      </c>
      <c r="C104" s="1" t="str">
        <f>IFERROR(INDEX(Players!$D$4:$D$503,MATCH(101,Players!$L$4:$L$503,0)),"")</f>
        <v/>
      </c>
      <c r="D104" s="7" t="str">
        <f>IFERROR(INDEX(Players!$E$4:$E$503,MATCH(101,Players!$L$4:$L$503,0)),"")</f>
        <v/>
      </c>
      <c r="E104" s="1" t="str">
        <f>IFERROR(INDEX(Players!$F$4:$F$503,MATCH(101,Players!$L$4:$L$503,0)),"")</f>
        <v/>
      </c>
      <c r="F104" s="1" t="str">
        <f>IFERROR(INDEX(Players!$I$4:$I$503,MATCH(101,Players!$L$4:$L$503,0)),"")</f>
        <v/>
      </c>
    </row>
    <row r="105" spans="1:6">
      <c r="A105" s="1" t="str">
        <f>IFERROR(INDEX(Players!$B$4:$B$503,MATCH(102,Players!$L$4:$L$503,0)),"")</f>
        <v/>
      </c>
      <c r="B105" s="1" t="str">
        <f>IFERROR(INDEX(Players!$C$4:$C$503,MATCH(102,Players!$L$4:$L$503,0)),"")</f>
        <v/>
      </c>
      <c r="C105" s="1" t="str">
        <f>IFERROR(INDEX(Players!$D$4:$D$503,MATCH(102,Players!$L$4:$L$503,0)),"")</f>
        <v/>
      </c>
      <c r="D105" s="7" t="str">
        <f>IFERROR(INDEX(Players!$E$4:$E$503,MATCH(102,Players!$L$4:$L$503,0)),"")</f>
        <v/>
      </c>
      <c r="E105" s="1" t="str">
        <f>IFERROR(INDEX(Players!$F$4:$F$503,MATCH(102,Players!$L$4:$L$503,0)),"")</f>
        <v/>
      </c>
      <c r="F105" s="1" t="str">
        <f>IFERROR(INDEX(Players!$I$4:$I$503,MATCH(102,Players!$L$4:$L$503,0)),"")</f>
        <v/>
      </c>
    </row>
    <row r="106" spans="1:6">
      <c r="A106" s="1" t="str">
        <f>IFERROR(INDEX(Players!$B$4:$B$503,MATCH(103,Players!$L$4:$L$503,0)),"")</f>
        <v/>
      </c>
      <c r="B106" s="1" t="str">
        <f>IFERROR(INDEX(Players!$C$4:$C$503,MATCH(103,Players!$L$4:$L$503,0)),"")</f>
        <v/>
      </c>
      <c r="C106" s="1" t="str">
        <f>IFERROR(INDEX(Players!$D$4:$D$503,MATCH(103,Players!$L$4:$L$503,0)),"")</f>
        <v/>
      </c>
      <c r="D106" s="7" t="str">
        <f>IFERROR(INDEX(Players!$E$4:$E$503,MATCH(103,Players!$L$4:$L$503,0)),"")</f>
        <v/>
      </c>
      <c r="E106" s="1" t="str">
        <f>IFERROR(INDEX(Players!$F$4:$F$503,MATCH(103,Players!$L$4:$L$503,0)),"")</f>
        <v/>
      </c>
      <c r="F106" s="1" t="str">
        <f>IFERROR(INDEX(Players!$I$4:$I$503,MATCH(103,Players!$L$4:$L$503,0)),"")</f>
        <v/>
      </c>
    </row>
    <row r="107" spans="1:6">
      <c r="A107" s="1" t="str">
        <f>IFERROR(INDEX(Players!$B$4:$B$503,MATCH(104,Players!$L$4:$L$503,0)),"")</f>
        <v/>
      </c>
      <c r="B107" s="1" t="str">
        <f>IFERROR(INDEX(Players!$C$4:$C$503,MATCH(104,Players!$L$4:$L$503,0)),"")</f>
        <v/>
      </c>
      <c r="C107" s="1" t="str">
        <f>IFERROR(INDEX(Players!$D$4:$D$503,MATCH(104,Players!$L$4:$L$503,0)),"")</f>
        <v/>
      </c>
      <c r="D107" s="7" t="str">
        <f>IFERROR(INDEX(Players!$E$4:$E$503,MATCH(104,Players!$L$4:$L$503,0)),"")</f>
        <v/>
      </c>
      <c r="E107" s="1" t="str">
        <f>IFERROR(INDEX(Players!$F$4:$F$503,MATCH(104,Players!$L$4:$L$503,0)),"")</f>
        <v/>
      </c>
      <c r="F107" s="1" t="str">
        <f>IFERROR(INDEX(Players!$I$4:$I$503,MATCH(104,Players!$L$4:$L$503,0)),"")</f>
        <v/>
      </c>
    </row>
    <row r="108" spans="1:6">
      <c r="A108" s="1" t="str">
        <f>IFERROR(INDEX(Players!$B$4:$B$503,MATCH(105,Players!$L$4:$L$503,0)),"")</f>
        <v/>
      </c>
      <c r="B108" s="1" t="str">
        <f>IFERROR(INDEX(Players!$C$4:$C$503,MATCH(105,Players!$L$4:$L$503,0)),"")</f>
        <v/>
      </c>
      <c r="C108" s="1" t="str">
        <f>IFERROR(INDEX(Players!$D$4:$D$503,MATCH(105,Players!$L$4:$L$503,0)),"")</f>
        <v/>
      </c>
      <c r="D108" s="7" t="str">
        <f>IFERROR(INDEX(Players!$E$4:$E$503,MATCH(105,Players!$L$4:$L$503,0)),"")</f>
        <v/>
      </c>
      <c r="E108" s="1" t="str">
        <f>IFERROR(INDEX(Players!$F$4:$F$503,MATCH(105,Players!$L$4:$L$503,0)),"")</f>
        <v/>
      </c>
      <c r="F108" s="1" t="str">
        <f>IFERROR(INDEX(Players!$I$4:$I$503,MATCH(105,Players!$L$4:$L$503,0)),"")</f>
        <v/>
      </c>
    </row>
    <row r="109" spans="1:6">
      <c r="A109" s="1" t="str">
        <f>IFERROR(INDEX(Players!$B$4:$B$503,MATCH(106,Players!$L$4:$L$503,0)),"")</f>
        <v/>
      </c>
      <c r="B109" s="1" t="str">
        <f>IFERROR(INDEX(Players!$C$4:$C$503,MATCH(106,Players!$L$4:$L$503,0)),"")</f>
        <v/>
      </c>
      <c r="C109" s="1" t="str">
        <f>IFERROR(INDEX(Players!$D$4:$D$503,MATCH(106,Players!$L$4:$L$503,0)),"")</f>
        <v/>
      </c>
      <c r="D109" s="7" t="str">
        <f>IFERROR(INDEX(Players!$E$4:$E$503,MATCH(106,Players!$L$4:$L$503,0)),"")</f>
        <v/>
      </c>
      <c r="E109" s="1" t="str">
        <f>IFERROR(INDEX(Players!$F$4:$F$503,MATCH(106,Players!$L$4:$L$503,0)),"")</f>
        <v/>
      </c>
      <c r="F109" s="1" t="str">
        <f>IFERROR(INDEX(Players!$I$4:$I$503,MATCH(106,Players!$L$4:$L$503,0)),"")</f>
        <v/>
      </c>
    </row>
    <row r="110" spans="1:6">
      <c r="A110" s="1" t="str">
        <f>IFERROR(INDEX(Players!$B$4:$B$503,MATCH(107,Players!$L$4:$L$503,0)),"")</f>
        <v/>
      </c>
      <c r="B110" s="1" t="str">
        <f>IFERROR(INDEX(Players!$C$4:$C$503,MATCH(107,Players!$L$4:$L$503,0)),"")</f>
        <v/>
      </c>
      <c r="C110" s="1" t="str">
        <f>IFERROR(INDEX(Players!$D$4:$D$503,MATCH(107,Players!$L$4:$L$503,0)),"")</f>
        <v/>
      </c>
      <c r="D110" s="7" t="str">
        <f>IFERROR(INDEX(Players!$E$4:$E$503,MATCH(107,Players!$L$4:$L$503,0)),"")</f>
        <v/>
      </c>
      <c r="E110" s="1" t="str">
        <f>IFERROR(INDEX(Players!$F$4:$F$503,MATCH(107,Players!$L$4:$L$503,0)),"")</f>
        <v/>
      </c>
      <c r="F110" s="1" t="str">
        <f>IFERROR(INDEX(Players!$I$4:$I$503,MATCH(107,Players!$L$4:$L$503,0)),"")</f>
        <v/>
      </c>
    </row>
    <row r="111" spans="1:6">
      <c r="A111" s="1" t="str">
        <f>IFERROR(INDEX(Players!$B$4:$B$503,MATCH(108,Players!$L$4:$L$503,0)),"")</f>
        <v/>
      </c>
      <c r="B111" s="1" t="str">
        <f>IFERROR(INDEX(Players!$C$4:$C$503,MATCH(108,Players!$L$4:$L$503,0)),"")</f>
        <v/>
      </c>
      <c r="C111" s="1" t="str">
        <f>IFERROR(INDEX(Players!$D$4:$D$503,MATCH(108,Players!$L$4:$L$503,0)),"")</f>
        <v/>
      </c>
      <c r="D111" s="7" t="str">
        <f>IFERROR(INDEX(Players!$E$4:$E$503,MATCH(108,Players!$L$4:$L$503,0)),"")</f>
        <v/>
      </c>
      <c r="E111" s="1" t="str">
        <f>IFERROR(INDEX(Players!$F$4:$F$503,MATCH(108,Players!$L$4:$L$503,0)),"")</f>
        <v/>
      </c>
      <c r="F111" s="1" t="str">
        <f>IFERROR(INDEX(Players!$I$4:$I$503,MATCH(108,Players!$L$4:$L$503,0)),"")</f>
        <v/>
      </c>
    </row>
    <row r="112" spans="1:6">
      <c r="A112" s="1" t="str">
        <f>IFERROR(INDEX(Players!$B$4:$B$503,MATCH(109,Players!$L$4:$L$503,0)),"")</f>
        <v/>
      </c>
      <c r="B112" s="1" t="str">
        <f>IFERROR(INDEX(Players!$C$4:$C$503,MATCH(109,Players!$L$4:$L$503,0)),"")</f>
        <v/>
      </c>
      <c r="C112" s="1" t="str">
        <f>IFERROR(INDEX(Players!$D$4:$D$503,MATCH(109,Players!$L$4:$L$503,0)),"")</f>
        <v/>
      </c>
      <c r="D112" s="7" t="str">
        <f>IFERROR(INDEX(Players!$E$4:$E$503,MATCH(109,Players!$L$4:$L$503,0)),"")</f>
        <v/>
      </c>
      <c r="E112" s="1" t="str">
        <f>IFERROR(INDEX(Players!$F$4:$F$503,MATCH(109,Players!$L$4:$L$503,0)),"")</f>
        <v/>
      </c>
      <c r="F112" s="1" t="str">
        <f>IFERROR(INDEX(Players!$I$4:$I$503,MATCH(109,Players!$L$4:$L$503,0)),"")</f>
        <v/>
      </c>
    </row>
    <row r="113" spans="1:6">
      <c r="A113" s="1" t="str">
        <f>IFERROR(INDEX(Players!$B$4:$B$503,MATCH(110,Players!$L$4:$L$503,0)),"")</f>
        <v/>
      </c>
      <c r="B113" s="1" t="str">
        <f>IFERROR(INDEX(Players!$C$4:$C$503,MATCH(110,Players!$L$4:$L$503,0)),"")</f>
        <v/>
      </c>
      <c r="C113" s="1" t="str">
        <f>IFERROR(INDEX(Players!$D$4:$D$503,MATCH(110,Players!$L$4:$L$503,0)),"")</f>
        <v/>
      </c>
      <c r="D113" s="7" t="str">
        <f>IFERROR(INDEX(Players!$E$4:$E$503,MATCH(110,Players!$L$4:$L$503,0)),"")</f>
        <v/>
      </c>
      <c r="E113" s="1" t="str">
        <f>IFERROR(INDEX(Players!$F$4:$F$503,MATCH(110,Players!$L$4:$L$503,0)),"")</f>
        <v/>
      </c>
      <c r="F113" s="1" t="str">
        <f>IFERROR(INDEX(Players!$I$4:$I$503,MATCH(110,Players!$L$4:$L$503,0)),"")</f>
        <v/>
      </c>
    </row>
    <row r="114" spans="1:6">
      <c r="A114" s="1" t="str">
        <f>IFERROR(INDEX(Players!$B$4:$B$503,MATCH(111,Players!$L$4:$L$503,0)),"")</f>
        <v/>
      </c>
      <c r="B114" s="1" t="str">
        <f>IFERROR(INDEX(Players!$C$4:$C$503,MATCH(111,Players!$L$4:$L$503,0)),"")</f>
        <v/>
      </c>
      <c r="C114" s="1" t="str">
        <f>IFERROR(INDEX(Players!$D$4:$D$503,MATCH(111,Players!$L$4:$L$503,0)),"")</f>
        <v/>
      </c>
      <c r="D114" s="7" t="str">
        <f>IFERROR(INDEX(Players!$E$4:$E$503,MATCH(111,Players!$L$4:$L$503,0)),"")</f>
        <v/>
      </c>
      <c r="E114" s="1" t="str">
        <f>IFERROR(INDEX(Players!$F$4:$F$503,MATCH(111,Players!$L$4:$L$503,0)),"")</f>
        <v/>
      </c>
      <c r="F114" s="1" t="str">
        <f>IFERROR(INDEX(Players!$I$4:$I$503,MATCH(111,Players!$L$4:$L$503,0)),"")</f>
        <v/>
      </c>
    </row>
    <row r="115" spans="1:6">
      <c r="A115" s="1" t="str">
        <f>IFERROR(INDEX(Players!$B$4:$B$503,MATCH(112,Players!$L$4:$L$503,0)),"")</f>
        <v/>
      </c>
      <c r="B115" s="1" t="str">
        <f>IFERROR(INDEX(Players!$C$4:$C$503,MATCH(112,Players!$L$4:$L$503,0)),"")</f>
        <v/>
      </c>
      <c r="C115" s="1" t="str">
        <f>IFERROR(INDEX(Players!$D$4:$D$503,MATCH(112,Players!$L$4:$L$503,0)),"")</f>
        <v/>
      </c>
      <c r="D115" s="7" t="str">
        <f>IFERROR(INDEX(Players!$E$4:$E$503,MATCH(112,Players!$L$4:$L$503,0)),"")</f>
        <v/>
      </c>
      <c r="E115" s="1" t="str">
        <f>IFERROR(INDEX(Players!$F$4:$F$503,MATCH(112,Players!$L$4:$L$503,0)),"")</f>
        <v/>
      </c>
      <c r="F115" s="1" t="str">
        <f>IFERROR(INDEX(Players!$I$4:$I$503,MATCH(112,Players!$L$4:$L$503,0)),"")</f>
        <v/>
      </c>
    </row>
    <row r="116" spans="1:6">
      <c r="A116" s="1" t="str">
        <f>IFERROR(INDEX(Players!$B$4:$B$503,MATCH(113,Players!$L$4:$L$503,0)),"")</f>
        <v/>
      </c>
      <c r="B116" s="1" t="str">
        <f>IFERROR(INDEX(Players!$C$4:$C$503,MATCH(113,Players!$L$4:$L$503,0)),"")</f>
        <v/>
      </c>
      <c r="C116" s="1" t="str">
        <f>IFERROR(INDEX(Players!$D$4:$D$503,MATCH(113,Players!$L$4:$L$503,0)),"")</f>
        <v/>
      </c>
      <c r="D116" s="7" t="str">
        <f>IFERROR(INDEX(Players!$E$4:$E$503,MATCH(113,Players!$L$4:$L$503,0)),"")</f>
        <v/>
      </c>
      <c r="E116" s="1" t="str">
        <f>IFERROR(INDEX(Players!$F$4:$F$503,MATCH(113,Players!$L$4:$L$503,0)),"")</f>
        <v/>
      </c>
      <c r="F116" s="1" t="str">
        <f>IFERROR(INDEX(Players!$I$4:$I$503,MATCH(113,Players!$L$4:$L$503,0)),"")</f>
        <v/>
      </c>
    </row>
    <row r="117" spans="1:6">
      <c r="A117" s="1" t="str">
        <f>IFERROR(INDEX(Players!$B$4:$B$503,MATCH(114,Players!$L$4:$L$503,0)),"")</f>
        <v/>
      </c>
      <c r="B117" s="1" t="str">
        <f>IFERROR(INDEX(Players!$C$4:$C$503,MATCH(114,Players!$L$4:$L$503,0)),"")</f>
        <v/>
      </c>
      <c r="C117" s="1" t="str">
        <f>IFERROR(INDEX(Players!$D$4:$D$503,MATCH(114,Players!$L$4:$L$503,0)),"")</f>
        <v/>
      </c>
      <c r="D117" s="7" t="str">
        <f>IFERROR(INDEX(Players!$E$4:$E$503,MATCH(114,Players!$L$4:$L$503,0)),"")</f>
        <v/>
      </c>
      <c r="E117" s="1" t="str">
        <f>IFERROR(INDEX(Players!$F$4:$F$503,MATCH(114,Players!$L$4:$L$503,0)),"")</f>
        <v/>
      </c>
      <c r="F117" s="1" t="str">
        <f>IFERROR(INDEX(Players!$I$4:$I$503,MATCH(114,Players!$L$4:$L$503,0)),"")</f>
        <v/>
      </c>
    </row>
    <row r="118" spans="1:6">
      <c r="A118" s="1" t="str">
        <f>IFERROR(INDEX(Players!$B$4:$B$503,MATCH(115,Players!$L$4:$L$503,0)),"")</f>
        <v/>
      </c>
      <c r="B118" s="1" t="str">
        <f>IFERROR(INDEX(Players!$C$4:$C$503,MATCH(115,Players!$L$4:$L$503,0)),"")</f>
        <v/>
      </c>
      <c r="C118" s="1" t="str">
        <f>IFERROR(INDEX(Players!$D$4:$D$503,MATCH(115,Players!$L$4:$L$503,0)),"")</f>
        <v/>
      </c>
      <c r="D118" s="7" t="str">
        <f>IFERROR(INDEX(Players!$E$4:$E$503,MATCH(115,Players!$L$4:$L$503,0)),"")</f>
        <v/>
      </c>
      <c r="E118" s="1" t="str">
        <f>IFERROR(INDEX(Players!$F$4:$F$503,MATCH(115,Players!$L$4:$L$503,0)),"")</f>
        <v/>
      </c>
      <c r="F118" s="1" t="str">
        <f>IFERROR(INDEX(Players!$I$4:$I$503,MATCH(115,Players!$L$4:$L$503,0)),"")</f>
        <v/>
      </c>
    </row>
    <row r="119" spans="1:6">
      <c r="A119" s="1" t="str">
        <f>IFERROR(INDEX(Players!$B$4:$B$503,MATCH(116,Players!$L$4:$L$503,0)),"")</f>
        <v/>
      </c>
      <c r="B119" s="1" t="str">
        <f>IFERROR(INDEX(Players!$C$4:$C$503,MATCH(116,Players!$L$4:$L$503,0)),"")</f>
        <v/>
      </c>
      <c r="C119" s="1" t="str">
        <f>IFERROR(INDEX(Players!$D$4:$D$503,MATCH(116,Players!$L$4:$L$503,0)),"")</f>
        <v/>
      </c>
      <c r="D119" s="7" t="str">
        <f>IFERROR(INDEX(Players!$E$4:$E$503,MATCH(116,Players!$L$4:$L$503,0)),"")</f>
        <v/>
      </c>
      <c r="E119" s="1" t="str">
        <f>IFERROR(INDEX(Players!$F$4:$F$503,MATCH(116,Players!$L$4:$L$503,0)),"")</f>
        <v/>
      </c>
      <c r="F119" s="1" t="str">
        <f>IFERROR(INDEX(Players!$I$4:$I$503,MATCH(116,Players!$L$4:$L$503,0)),"")</f>
        <v/>
      </c>
    </row>
    <row r="120" spans="1:6">
      <c r="A120" s="1" t="str">
        <f>IFERROR(INDEX(Players!$B$4:$B$503,MATCH(117,Players!$L$4:$L$503,0)),"")</f>
        <v/>
      </c>
      <c r="B120" s="1" t="str">
        <f>IFERROR(INDEX(Players!$C$4:$C$503,MATCH(117,Players!$L$4:$L$503,0)),"")</f>
        <v/>
      </c>
      <c r="C120" s="1" t="str">
        <f>IFERROR(INDEX(Players!$D$4:$D$503,MATCH(117,Players!$L$4:$L$503,0)),"")</f>
        <v/>
      </c>
      <c r="D120" s="7" t="str">
        <f>IFERROR(INDEX(Players!$E$4:$E$503,MATCH(117,Players!$L$4:$L$503,0)),"")</f>
        <v/>
      </c>
      <c r="E120" s="1" t="str">
        <f>IFERROR(INDEX(Players!$F$4:$F$503,MATCH(117,Players!$L$4:$L$503,0)),"")</f>
        <v/>
      </c>
      <c r="F120" s="1" t="str">
        <f>IFERROR(INDEX(Players!$I$4:$I$503,MATCH(117,Players!$L$4:$L$503,0)),"")</f>
        <v/>
      </c>
    </row>
    <row r="121" spans="1:6">
      <c r="A121" s="1" t="str">
        <f>IFERROR(INDEX(Players!$B$4:$B$503,MATCH(118,Players!$L$4:$L$503,0)),"")</f>
        <v/>
      </c>
      <c r="B121" s="1" t="str">
        <f>IFERROR(INDEX(Players!$C$4:$C$503,MATCH(118,Players!$L$4:$L$503,0)),"")</f>
        <v/>
      </c>
      <c r="C121" s="1" t="str">
        <f>IFERROR(INDEX(Players!$D$4:$D$503,MATCH(118,Players!$L$4:$L$503,0)),"")</f>
        <v/>
      </c>
      <c r="D121" s="7" t="str">
        <f>IFERROR(INDEX(Players!$E$4:$E$503,MATCH(118,Players!$L$4:$L$503,0)),"")</f>
        <v/>
      </c>
      <c r="E121" s="1" t="str">
        <f>IFERROR(INDEX(Players!$F$4:$F$503,MATCH(118,Players!$L$4:$L$503,0)),"")</f>
        <v/>
      </c>
      <c r="F121" s="1" t="str">
        <f>IFERROR(INDEX(Players!$I$4:$I$503,MATCH(118,Players!$L$4:$L$503,0)),"")</f>
        <v/>
      </c>
    </row>
    <row r="122" spans="1:6">
      <c r="A122" s="1" t="str">
        <f>IFERROR(INDEX(Players!$B$4:$B$503,MATCH(119,Players!$L$4:$L$503,0)),"")</f>
        <v/>
      </c>
      <c r="B122" s="1" t="str">
        <f>IFERROR(INDEX(Players!$C$4:$C$503,MATCH(119,Players!$L$4:$L$503,0)),"")</f>
        <v/>
      </c>
      <c r="C122" s="1" t="str">
        <f>IFERROR(INDEX(Players!$D$4:$D$503,MATCH(119,Players!$L$4:$L$503,0)),"")</f>
        <v/>
      </c>
      <c r="D122" s="7" t="str">
        <f>IFERROR(INDEX(Players!$E$4:$E$503,MATCH(119,Players!$L$4:$L$503,0)),"")</f>
        <v/>
      </c>
      <c r="E122" s="1" t="str">
        <f>IFERROR(INDEX(Players!$F$4:$F$503,MATCH(119,Players!$L$4:$L$503,0)),"")</f>
        <v/>
      </c>
      <c r="F122" s="1" t="str">
        <f>IFERROR(INDEX(Players!$I$4:$I$503,MATCH(119,Players!$L$4:$L$503,0)),"")</f>
        <v/>
      </c>
    </row>
    <row r="123" spans="1:6">
      <c r="A123" s="1" t="str">
        <f>IFERROR(INDEX(Players!$B$4:$B$503,MATCH(120,Players!$L$4:$L$503,0)),"")</f>
        <v/>
      </c>
      <c r="B123" s="1" t="str">
        <f>IFERROR(INDEX(Players!$C$4:$C$503,MATCH(120,Players!$L$4:$L$503,0)),"")</f>
        <v/>
      </c>
      <c r="C123" s="1" t="str">
        <f>IFERROR(INDEX(Players!$D$4:$D$503,MATCH(120,Players!$L$4:$L$503,0)),"")</f>
        <v/>
      </c>
      <c r="D123" s="7" t="str">
        <f>IFERROR(INDEX(Players!$E$4:$E$503,MATCH(120,Players!$L$4:$L$503,0)),"")</f>
        <v/>
      </c>
      <c r="E123" s="1" t="str">
        <f>IFERROR(INDEX(Players!$F$4:$F$503,MATCH(120,Players!$L$4:$L$503,0)),"")</f>
        <v/>
      </c>
      <c r="F123" s="1" t="str">
        <f>IFERROR(INDEX(Players!$I$4:$I$503,MATCH(120,Players!$L$4:$L$503,0)),"")</f>
        <v/>
      </c>
    </row>
    <row r="124" spans="1:6">
      <c r="A124" s="1" t="str">
        <f>IFERROR(INDEX(Players!$B$4:$B$503,MATCH(121,Players!$L$4:$L$503,0)),"")</f>
        <v/>
      </c>
      <c r="B124" s="1" t="str">
        <f>IFERROR(INDEX(Players!$C$4:$C$503,MATCH(121,Players!$L$4:$L$503,0)),"")</f>
        <v/>
      </c>
      <c r="C124" s="1" t="str">
        <f>IFERROR(INDEX(Players!$D$4:$D$503,MATCH(121,Players!$L$4:$L$503,0)),"")</f>
        <v/>
      </c>
      <c r="D124" s="7" t="str">
        <f>IFERROR(INDEX(Players!$E$4:$E$503,MATCH(121,Players!$L$4:$L$503,0)),"")</f>
        <v/>
      </c>
      <c r="E124" s="1" t="str">
        <f>IFERROR(INDEX(Players!$F$4:$F$503,MATCH(121,Players!$L$4:$L$503,0)),"")</f>
        <v/>
      </c>
      <c r="F124" s="1" t="str">
        <f>IFERROR(INDEX(Players!$I$4:$I$503,MATCH(121,Players!$L$4:$L$503,0)),"")</f>
        <v/>
      </c>
    </row>
    <row r="125" spans="1:6">
      <c r="A125" s="1" t="str">
        <f>IFERROR(INDEX(Players!$B$4:$B$503,MATCH(122,Players!$L$4:$L$503,0)),"")</f>
        <v/>
      </c>
      <c r="B125" s="1" t="str">
        <f>IFERROR(INDEX(Players!$C$4:$C$503,MATCH(122,Players!$L$4:$L$503,0)),"")</f>
        <v/>
      </c>
      <c r="C125" s="1" t="str">
        <f>IFERROR(INDEX(Players!$D$4:$D$503,MATCH(122,Players!$L$4:$L$503,0)),"")</f>
        <v/>
      </c>
      <c r="D125" s="7" t="str">
        <f>IFERROR(INDEX(Players!$E$4:$E$503,MATCH(122,Players!$L$4:$L$503,0)),"")</f>
        <v/>
      </c>
      <c r="E125" s="1" t="str">
        <f>IFERROR(INDEX(Players!$F$4:$F$503,MATCH(122,Players!$L$4:$L$503,0)),"")</f>
        <v/>
      </c>
      <c r="F125" s="1" t="str">
        <f>IFERROR(INDEX(Players!$I$4:$I$503,MATCH(122,Players!$L$4:$L$503,0)),"")</f>
        <v/>
      </c>
    </row>
    <row r="126" spans="1:6">
      <c r="A126" s="1" t="str">
        <f>IFERROR(INDEX(Players!$B$4:$B$503,MATCH(123,Players!$L$4:$L$503,0)),"")</f>
        <v/>
      </c>
      <c r="B126" s="1" t="str">
        <f>IFERROR(INDEX(Players!$C$4:$C$503,MATCH(123,Players!$L$4:$L$503,0)),"")</f>
        <v/>
      </c>
      <c r="C126" s="1" t="str">
        <f>IFERROR(INDEX(Players!$D$4:$D$503,MATCH(123,Players!$L$4:$L$503,0)),"")</f>
        <v/>
      </c>
      <c r="D126" s="7" t="str">
        <f>IFERROR(INDEX(Players!$E$4:$E$503,MATCH(123,Players!$L$4:$L$503,0)),"")</f>
        <v/>
      </c>
      <c r="E126" s="1" t="str">
        <f>IFERROR(INDEX(Players!$F$4:$F$503,MATCH(123,Players!$L$4:$L$503,0)),"")</f>
        <v/>
      </c>
      <c r="F126" s="1" t="str">
        <f>IFERROR(INDEX(Players!$I$4:$I$503,MATCH(123,Players!$L$4:$L$503,0)),"")</f>
        <v/>
      </c>
    </row>
    <row r="127" spans="1:6">
      <c r="A127" s="1" t="str">
        <f>IFERROR(INDEX(Players!$B$4:$B$503,MATCH(124,Players!$L$4:$L$503,0)),"")</f>
        <v/>
      </c>
      <c r="B127" s="1" t="str">
        <f>IFERROR(INDEX(Players!$C$4:$C$503,MATCH(124,Players!$L$4:$L$503,0)),"")</f>
        <v/>
      </c>
      <c r="C127" s="1" t="str">
        <f>IFERROR(INDEX(Players!$D$4:$D$503,MATCH(124,Players!$L$4:$L$503,0)),"")</f>
        <v/>
      </c>
      <c r="D127" s="7" t="str">
        <f>IFERROR(INDEX(Players!$E$4:$E$503,MATCH(124,Players!$L$4:$L$503,0)),"")</f>
        <v/>
      </c>
      <c r="E127" s="1" t="str">
        <f>IFERROR(INDEX(Players!$F$4:$F$503,MATCH(124,Players!$L$4:$L$503,0)),"")</f>
        <v/>
      </c>
      <c r="F127" s="1" t="str">
        <f>IFERROR(INDEX(Players!$I$4:$I$503,MATCH(124,Players!$L$4:$L$503,0)),"")</f>
        <v/>
      </c>
    </row>
    <row r="128" spans="1:6">
      <c r="A128" s="1" t="str">
        <f>IFERROR(INDEX(Players!$B$4:$B$503,MATCH(125,Players!$L$4:$L$503,0)),"")</f>
        <v/>
      </c>
      <c r="B128" s="1" t="str">
        <f>IFERROR(INDEX(Players!$C$4:$C$503,MATCH(125,Players!$L$4:$L$503,0)),"")</f>
        <v/>
      </c>
      <c r="C128" s="1" t="str">
        <f>IFERROR(INDEX(Players!$D$4:$D$503,MATCH(125,Players!$L$4:$L$503,0)),"")</f>
        <v/>
      </c>
      <c r="D128" s="7" t="str">
        <f>IFERROR(INDEX(Players!$E$4:$E$503,MATCH(125,Players!$L$4:$L$503,0)),"")</f>
        <v/>
      </c>
      <c r="E128" s="1" t="str">
        <f>IFERROR(INDEX(Players!$F$4:$F$503,MATCH(125,Players!$L$4:$L$503,0)),"")</f>
        <v/>
      </c>
      <c r="F128" s="1" t="str">
        <f>IFERROR(INDEX(Players!$I$4:$I$503,MATCH(125,Players!$L$4:$L$503,0)),"")</f>
        <v/>
      </c>
    </row>
    <row r="129" spans="1:6">
      <c r="A129" s="1" t="str">
        <f>IFERROR(INDEX(Players!$B$4:$B$503,MATCH(126,Players!$L$4:$L$503,0)),"")</f>
        <v/>
      </c>
      <c r="B129" s="1" t="str">
        <f>IFERROR(INDEX(Players!$C$4:$C$503,MATCH(126,Players!$L$4:$L$503,0)),"")</f>
        <v/>
      </c>
      <c r="C129" s="1" t="str">
        <f>IFERROR(INDEX(Players!$D$4:$D$503,MATCH(126,Players!$L$4:$L$503,0)),"")</f>
        <v/>
      </c>
      <c r="D129" s="7" t="str">
        <f>IFERROR(INDEX(Players!$E$4:$E$503,MATCH(126,Players!$L$4:$L$503,0)),"")</f>
        <v/>
      </c>
      <c r="E129" s="1" t="str">
        <f>IFERROR(INDEX(Players!$F$4:$F$503,MATCH(126,Players!$L$4:$L$503,0)),"")</f>
        <v/>
      </c>
      <c r="F129" s="1" t="str">
        <f>IFERROR(INDEX(Players!$I$4:$I$503,MATCH(126,Players!$L$4:$L$503,0)),"")</f>
        <v/>
      </c>
    </row>
    <row r="130" spans="1:6">
      <c r="A130" s="1" t="str">
        <f>IFERROR(INDEX(Players!$B$4:$B$503,MATCH(127,Players!$L$4:$L$503,0)),"")</f>
        <v/>
      </c>
      <c r="B130" s="1" t="str">
        <f>IFERROR(INDEX(Players!$C$4:$C$503,MATCH(127,Players!$L$4:$L$503,0)),"")</f>
        <v/>
      </c>
      <c r="C130" s="1" t="str">
        <f>IFERROR(INDEX(Players!$D$4:$D$503,MATCH(127,Players!$L$4:$L$503,0)),"")</f>
        <v/>
      </c>
      <c r="D130" s="7" t="str">
        <f>IFERROR(INDEX(Players!$E$4:$E$503,MATCH(127,Players!$L$4:$L$503,0)),"")</f>
        <v/>
      </c>
      <c r="E130" s="1" t="str">
        <f>IFERROR(INDEX(Players!$F$4:$F$503,MATCH(127,Players!$L$4:$L$503,0)),"")</f>
        <v/>
      </c>
      <c r="F130" s="1" t="str">
        <f>IFERROR(INDEX(Players!$I$4:$I$503,MATCH(127,Players!$L$4:$L$503,0)),"")</f>
        <v/>
      </c>
    </row>
    <row r="131" spans="1:6">
      <c r="A131" s="1" t="str">
        <f>IFERROR(INDEX(Players!$B$4:$B$503,MATCH(128,Players!$L$4:$L$503,0)),"")</f>
        <v/>
      </c>
      <c r="B131" s="1" t="str">
        <f>IFERROR(INDEX(Players!$C$4:$C$503,MATCH(128,Players!$L$4:$L$503,0)),"")</f>
        <v/>
      </c>
      <c r="C131" s="1" t="str">
        <f>IFERROR(INDEX(Players!$D$4:$D$503,MATCH(128,Players!$L$4:$L$503,0)),"")</f>
        <v/>
      </c>
      <c r="D131" s="7" t="str">
        <f>IFERROR(INDEX(Players!$E$4:$E$503,MATCH(128,Players!$L$4:$L$503,0)),"")</f>
        <v/>
      </c>
      <c r="E131" s="1" t="str">
        <f>IFERROR(INDEX(Players!$F$4:$F$503,MATCH(128,Players!$L$4:$L$503,0)),"")</f>
        <v/>
      </c>
      <c r="F131" s="1" t="str">
        <f>IFERROR(INDEX(Players!$I$4:$I$503,MATCH(128,Players!$L$4:$L$503,0)),"")</f>
        <v/>
      </c>
    </row>
    <row r="132" spans="1:6">
      <c r="A132" s="1" t="str">
        <f>IFERROR(INDEX(Players!$B$4:$B$503,MATCH(129,Players!$L$4:$L$503,0)),"")</f>
        <v/>
      </c>
      <c r="B132" s="1" t="str">
        <f>IFERROR(INDEX(Players!$C$4:$C$503,MATCH(129,Players!$L$4:$L$503,0)),"")</f>
        <v/>
      </c>
      <c r="C132" s="1" t="str">
        <f>IFERROR(INDEX(Players!$D$4:$D$503,MATCH(129,Players!$L$4:$L$503,0)),"")</f>
        <v/>
      </c>
      <c r="D132" s="7" t="str">
        <f>IFERROR(INDEX(Players!$E$4:$E$503,MATCH(129,Players!$L$4:$L$503,0)),"")</f>
        <v/>
      </c>
      <c r="E132" s="1" t="str">
        <f>IFERROR(INDEX(Players!$F$4:$F$503,MATCH(129,Players!$L$4:$L$503,0)),"")</f>
        <v/>
      </c>
      <c r="F132" s="1" t="str">
        <f>IFERROR(INDEX(Players!$I$4:$I$503,MATCH(129,Players!$L$4:$L$503,0)),"")</f>
        <v/>
      </c>
    </row>
    <row r="133" spans="1:6">
      <c r="A133" s="1" t="str">
        <f>IFERROR(INDEX(Players!$B$4:$B$503,MATCH(130,Players!$L$4:$L$503,0)),"")</f>
        <v/>
      </c>
      <c r="B133" s="1" t="str">
        <f>IFERROR(INDEX(Players!$C$4:$C$503,MATCH(130,Players!$L$4:$L$503,0)),"")</f>
        <v/>
      </c>
      <c r="C133" s="1" t="str">
        <f>IFERROR(INDEX(Players!$D$4:$D$503,MATCH(130,Players!$L$4:$L$503,0)),"")</f>
        <v/>
      </c>
      <c r="D133" s="7" t="str">
        <f>IFERROR(INDEX(Players!$E$4:$E$503,MATCH(130,Players!$L$4:$L$503,0)),"")</f>
        <v/>
      </c>
      <c r="E133" s="1" t="str">
        <f>IFERROR(INDEX(Players!$F$4:$F$503,MATCH(130,Players!$L$4:$L$503,0)),"")</f>
        <v/>
      </c>
      <c r="F133" s="1" t="str">
        <f>IFERROR(INDEX(Players!$I$4:$I$503,MATCH(130,Players!$L$4:$L$503,0)),"")</f>
        <v/>
      </c>
    </row>
    <row r="134" spans="1:6">
      <c r="A134" s="1" t="str">
        <f>IFERROR(INDEX(Players!$B$4:$B$503,MATCH(131,Players!$L$4:$L$503,0)),"")</f>
        <v/>
      </c>
      <c r="B134" s="1" t="str">
        <f>IFERROR(INDEX(Players!$C$4:$C$503,MATCH(131,Players!$L$4:$L$503,0)),"")</f>
        <v/>
      </c>
      <c r="C134" s="1" t="str">
        <f>IFERROR(INDEX(Players!$D$4:$D$503,MATCH(131,Players!$L$4:$L$503,0)),"")</f>
        <v/>
      </c>
      <c r="D134" s="7" t="str">
        <f>IFERROR(INDEX(Players!$E$4:$E$503,MATCH(131,Players!$L$4:$L$503,0)),"")</f>
        <v/>
      </c>
      <c r="E134" s="1" t="str">
        <f>IFERROR(INDEX(Players!$F$4:$F$503,MATCH(131,Players!$L$4:$L$503,0)),"")</f>
        <v/>
      </c>
      <c r="F134" s="1" t="str">
        <f>IFERROR(INDEX(Players!$I$4:$I$503,MATCH(131,Players!$L$4:$L$503,0)),"")</f>
        <v/>
      </c>
    </row>
    <row r="135" spans="1:6">
      <c r="A135" s="1" t="str">
        <f>IFERROR(INDEX(Players!$B$4:$B$503,MATCH(132,Players!$L$4:$L$503,0)),"")</f>
        <v/>
      </c>
      <c r="B135" s="1" t="str">
        <f>IFERROR(INDEX(Players!$C$4:$C$503,MATCH(132,Players!$L$4:$L$503,0)),"")</f>
        <v/>
      </c>
      <c r="C135" s="1" t="str">
        <f>IFERROR(INDEX(Players!$D$4:$D$503,MATCH(132,Players!$L$4:$L$503,0)),"")</f>
        <v/>
      </c>
      <c r="D135" s="7" t="str">
        <f>IFERROR(INDEX(Players!$E$4:$E$503,MATCH(132,Players!$L$4:$L$503,0)),"")</f>
        <v/>
      </c>
      <c r="E135" s="1" t="str">
        <f>IFERROR(INDEX(Players!$F$4:$F$503,MATCH(132,Players!$L$4:$L$503,0)),"")</f>
        <v/>
      </c>
      <c r="F135" s="1" t="str">
        <f>IFERROR(INDEX(Players!$I$4:$I$503,MATCH(132,Players!$L$4:$L$503,0)),"")</f>
        <v/>
      </c>
    </row>
    <row r="136" spans="1:6">
      <c r="A136" s="1" t="str">
        <f>IFERROR(INDEX(Players!$B$4:$B$503,MATCH(133,Players!$L$4:$L$503,0)),"")</f>
        <v/>
      </c>
      <c r="B136" s="1" t="str">
        <f>IFERROR(INDEX(Players!$C$4:$C$503,MATCH(133,Players!$L$4:$L$503,0)),"")</f>
        <v/>
      </c>
      <c r="C136" s="1" t="str">
        <f>IFERROR(INDEX(Players!$D$4:$D$503,MATCH(133,Players!$L$4:$L$503,0)),"")</f>
        <v/>
      </c>
      <c r="D136" s="7" t="str">
        <f>IFERROR(INDEX(Players!$E$4:$E$503,MATCH(133,Players!$L$4:$L$503,0)),"")</f>
        <v/>
      </c>
      <c r="E136" s="1" t="str">
        <f>IFERROR(INDEX(Players!$F$4:$F$503,MATCH(133,Players!$L$4:$L$503,0)),"")</f>
        <v/>
      </c>
      <c r="F136" s="1" t="str">
        <f>IFERROR(INDEX(Players!$I$4:$I$503,MATCH(133,Players!$L$4:$L$503,0)),"")</f>
        <v/>
      </c>
    </row>
    <row r="137" spans="1:6">
      <c r="A137" s="1" t="str">
        <f>IFERROR(INDEX(Players!$B$4:$B$503,MATCH(134,Players!$L$4:$L$503,0)),"")</f>
        <v/>
      </c>
      <c r="B137" s="1" t="str">
        <f>IFERROR(INDEX(Players!$C$4:$C$503,MATCH(134,Players!$L$4:$L$503,0)),"")</f>
        <v/>
      </c>
      <c r="C137" s="1" t="str">
        <f>IFERROR(INDEX(Players!$D$4:$D$503,MATCH(134,Players!$L$4:$L$503,0)),"")</f>
        <v/>
      </c>
      <c r="D137" s="7" t="str">
        <f>IFERROR(INDEX(Players!$E$4:$E$503,MATCH(134,Players!$L$4:$L$503,0)),"")</f>
        <v/>
      </c>
      <c r="E137" s="1" t="str">
        <f>IFERROR(INDEX(Players!$F$4:$F$503,MATCH(134,Players!$L$4:$L$503,0)),"")</f>
        <v/>
      </c>
      <c r="F137" s="1" t="str">
        <f>IFERROR(INDEX(Players!$I$4:$I$503,MATCH(134,Players!$L$4:$L$503,0)),"")</f>
        <v/>
      </c>
    </row>
    <row r="138" spans="1:6">
      <c r="A138" s="1" t="str">
        <f>IFERROR(INDEX(Players!$B$4:$B$503,MATCH(135,Players!$L$4:$L$503,0)),"")</f>
        <v/>
      </c>
      <c r="B138" s="1" t="str">
        <f>IFERROR(INDEX(Players!$C$4:$C$503,MATCH(135,Players!$L$4:$L$503,0)),"")</f>
        <v/>
      </c>
      <c r="C138" s="1" t="str">
        <f>IFERROR(INDEX(Players!$D$4:$D$503,MATCH(135,Players!$L$4:$L$503,0)),"")</f>
        <v/>
      </c>
      <c r="D138" s="7" t="str">
        <f>IFERROR(INDEX(Players!$E$4:$E$503,MATCH(135,Players!$L$4:$L$503,0)),"")</f>
        <v/>
      </c>
      <c r="E138" s="1" t="str">
        <f>IFERROR(INDEX(Players!$F$4:$F$503,MATCH(135,Players!$L$4:$L$503,0)),"")</f>
        <v/>
      </c>
      <c r="F138" s="1" t="str">
        <f>IFERROR(INDEX(Players!$I$4:$I$503,MATCH(135,Players!$L$4:$L$503,0)),"")</f>
        <v/>
      </c>
    </row>
    <row r="139" spans="1:6">
      <c r="A139" s="1" t="str">
        <f>IFERROR(INDEX(Players!$B$4:$B$503,MATCH(136,Players!$L$4:$L$503,0)),"")</f>
        <v/>
      </c>
      <c r="B139" s="1" t="str">
        <f>IFERROR(INDEX(Players!$C$4:$C$503,MATCH(136,Players!$L$4:$L$503,0)),"")</f>
        <v/>
      </c>
      <c r="C139" s="1" t="str">
        <f>IFERROR(INDEX(Players!$D$4:$D$503,MATCH(136,Players!$L$4:$L$503,0)),"")</f>
        <v/>
      </c>
      <c r="D139" s="7" t="str">
        <f>IFERROR(INDEX(Players!$E$4:$E$503,MATCH(136,Players!$L$4:$L$503,0)),"")</f>
        <v/>
      </c>
      <c r="E139" s="1" t="str">
        <f>IFERROR(INDEX(Players!$F$4:$F$503,MATCH(136,Players!$L$4:$L$503,0)),"")</f>
        <v/>
      </c>
      <c r="F139" s="1" t="str">
        <f>IFERROR(INDEX(Players!$I$4:$I$503,MATCH(136,Players!$L$4:$L$503,0)),"")</f>
        <v/>
      </c>
    </row>
    <row r="140" spans="1:6">
      <c r="A140" s="1" t="str">
        <f>IFERROR(INDEX(Players!$B$4:$B$503,MATCH(137,Players!$L$4:$L$503,0)),"")</f>
        <v/>
      </c>
      <c r="B140" s="1" t="str">
        <f>IFERROR(INDEX(Players!$C$4:$C$503,MATCH(137,Players!$L$4:$L$503,0)),"")</f>
        <v/>
      </c>
      <c r="C140" s="1" t="str">
        <f>IFERROR(INDEX(Players!$D$4:$D$503,MATCH(137,Players!$L$4:$L$503,0)),"")</f>
        <v/>
      </c>
      <c r="D140" s="7" t="str">
        <f>IFERROR(INDEX(Players!$E$4:$E$503,MATCH(137,Players!$L$4:$L$503,0)),"")</f>
        <v/>
      </c>
      <c r="E140" s="1" t="str">
        <f>IFERROR(INDEX(Players!$F$4:$F$503,MATCH(137,Players!$L$4:$L$503,0)),"")</f>
        <v/>
      </c>
      <c r="F140" s="1" t="str">
        <f>IFERROR(INDEX(Players!$I$4:$I$503,MATCH(137,Players!$L$4:$L$503,0)),"")</f>
        <v/>
      </c>
    </row>
    <row r="141" spans="1:6">
      <c r="A141" s="1" t="str">
        <f>IFERROR(INDEX(Players!$B$4:$B$503,MATCH(138,Players!$L$4:$L$503,0)),"")</f>
        <v/>
      </c>
      <c r="B141" s="1" t="str">
        <f>IFERROR(INDEX(Players!$C$4:$C$503,MATCH(138,Players!$L$4:$L$503,0)),"")</f>
        <v/>
      </c>
      <c r="C141" s="1" t="str">
        <f>IFERROR(INDEX(Players!$D$4:$D$503,MATCH(138,Players!$L$4:$L$503,0)),"")</f>
        <v/>
      </c>
      <c r="D141" s="7" t="str">
        <f>IFERROR(INDEX(Players!$E$4:$E$503,MATCH(138,Players!$L$4:$L$503,0)),"")</f>
        <v/>
      </c>
      <c r="E141" s="1" t="str">
        <f>IFERROR(INDEX(Players!$F$4:$F$503,MATCH(138,Players!$L$4:$L$503,0)),"")</f>
        <v/>
      </c>
      <c r="F141" s="1" t="str">
        <f>IFERROR(INDEX(Players!$I$4:$I$503,MATCH(138,Players!$L$4:$L$503,0)),"")</f>
        <v/>
      </c>
    </row>
    <row r="142" spans="1:6">
      <c r="A142" s="1" t="str">
        <f>IFERROR(INDEX(Players!$B$4:$B$503,MATCH(139,Players!$L$4:$L$503,0)),"")</f>
        <v/>
      </c>
      <c r="B142" s="1" t="str">
        <f>IFERROR(INDEX(Players!$C$4:$C$503,MATCH(139,Players!$L$4:$L$503,0)),"")</f>
        <v/>
      </c>
      <c r="C142" s="1" t="str">
        <f>IFERROR(INDEX(Players!$D$4:$D$503,MATCH(139,Players!$L$4:$L$503,0)),"")</f>
        <v/>
      </c>
      <c r="D142" s="7" t="str">
        <f>IFERROR(INDEX(Players!$E$4:$E$503,MATCH(139,Players!$L$4:$L$503,0)),"")</f>
        <v/>
      </c>
      <c r="E142" s="1" t="str">
        <f>IFERROR(INDEX(Players!$F$4:$F$503,MATCH(139,Players!$L$4:$L$503,0)),"")</f>
        <v/>
      </c>
      <c r="F142" s="1" t="str">
        <f>IFERROR(INDEX(Players!$I$4:$I$503,MATCH(139,Players!$L$4:$L$503,0)),"")</f>
        <v/>
      </c>
    </row>
    <row r="143" spans="1:6">
      <c r="A143" s="1" t="str">
        <f>IFERROR(INDEX(Players!$B$4:$B$503,MATCH(140,Players!$L$4:$L$503,0)),"")</f>
        <v/>
      </c>
      <c r="B143" s="1" t="str">
        <f>IFERROR(INDEX(Players!$C$4:$C$503,MATCH(140,Players!$L$4:$L$503,0)),"")</f>
        <v/>
      </c>
      <c r="C143" s="1" t="str">
        <f>IFERROR(INDEX(Players!$D$4:$D$503,MATCH(140,Players!$L$4:$L$503,0)),"")</f>
        <v/>
      </c>
      <c r="D143" s="7" t="str">
        <f>IFERROR(INDEX(Players!$E$4:$E$503,MATCH(140,Players!$L$4:$L$503,0)),"")</f>
        <v/>
      </c>
      <c r="E143" s="1" t="str">
        <f>IFERROR(INDEX(Players!$F$4:$F$503,MATCH(140,Players!$L$4:$L$503,0)),"")</f>
        <v/>
      </c>
      <c r="F143" s="1" t="str">
        <f>IFERROR(INDEX(Players!$I$4:$I$503,MATCH(140,Players!$L$4:$L$503,0)),"")</f>
        <v/>
      </c>
    </row>
    <row r="144" spans="1:6">
      <c r="A144" s="1" t="str">
        <f>IFERROR(INDEX(Players!$B$4:$B$503,MATCH(141,Players!$L$4:$L$503,0)),"")</f>
        <v/>
      </c>
      <c r="B144" s="1" t="str">
        <f>IFERROR(INDEX(Players!$C$4:$C$503,MATCH(141,Players!$L$4:$L$503,0)),"")</f>
        <v/>
      </c>
      <c r="C144" s="1" t="str">
        <f>IFERROR(INDEX(Players!$D$4:$D$503,MATCH(141,Players!$L$4:$L$503,0)),"")</f>
        <v/>
      </c>
      <c r="D144" s="7" t="str">
        <f>IFERROR(INDEX(Players!$E$4:$E$503,MATCH(141,Players!$L$4:$L$503,0)),"")</f>
        <v/>
      </c>
      <c r="E144" s="1" t="str">
        <f>IFERROR(INDEX(Players!$F$4:$F$503,MATCH(141,Players!$L$4:$L$503,0)),"")</f>
        <v/>
      </c>
      <c r="F144" s="1" t="str">
        <f>IFERROR(INDEX(Players!$I$4:$I$503,MATCH(141,Players!$L$4:$L$503,0)),"")</f>
        <v/>
      </c>
    </row>
    <row r="145" spans="1:6">
      <c r="A145" s="1" t="str">
        <f>IFERROR(INDEX(Players!$B$4:$B$503,MATCH(142,Players!$L$4:$L$503,0)),"")</f>
        <v/>
      </c>
      <c r="B145" s="1" t="str">
        <f>IFERROR(INDEX(Players!$C$4:$C$503,MATCH(142,Players!$L$4:$L$503,0)),"")</f>
        <v/>
      </c>
      <c r="C145" s="1" t="str">
        <f>IFERROR(INDEX(Players!$D$4:$D$503,MATCH(142,Players!$L$4:$L$503,0)),"")</f>
        <v/>
      </c>
      <c r="D145" s="7" t="str">
        <f>IFERROR(INDEX(Players!$E$4:$E$503,MATCH(142,Players!$L$4:$L$503,0)),"")</f>
        <v/>
      </c>
      <c r="E145" s="1" t="str">
        <f>IFERROR(INDEX(Players!$F$4:$F$503,MATCH(142,Players!$L$4:$L$503,0)),"")</f>
        <v/>
      </c>
      <c r="F145" s="1" t="str">
        <f>IFERROR(INDEX(Players!$I$4:$I$503,MATCH(142,Players!$L$4:$L$503,0)),"")</f>
        <v/>
      </c>
    </row>
    <row r="146" spans="1:6">
      <c r="A146" s="1" t="str">
        <f>IFERROR(INDEX(Players!$B$4:$B$503,MATCH(143,Players!$L$4:$L$503,0)),"")</f>
        <v/>
      </c>
      <c r="B146" s="1" t="str">
        <f>IFERROR(INDEX(Players!$C$4:$C$503,MATCH(143,Players!$L$4:$L$503,0)),"")</f>
        <v/>
      </c>
      <c r="C146" s="1" t="str">
        <f>IFERROR(INDEX(Players!$D$4:$D$503,MATCH(143,Players!$L$4:$L$503,0)),"")</f>
        <v/>
      </c>
      <c r="D146" s="7" t="str">
        <f>IFERROR(INDEX(Players!$E$4:$E$503,MATCH(143,Players!$L$4:$L$503,0)),"")</f>
        <v/>
      </c>
      <c r="E146" s="1" t="str">
        <f>IFERROR(INDEX(Players!$F$4:$F$503,MATCH(143,Players!$L$4:$L$503,0)),"")</f>
        <v/>
      </c>
      <c r="F146" s="1" t="str">
        <f>IFERROR(INDEX(Players!$I$4:$I$503,MATCH(143,Players!$L$4:$L$503,0)),"")</f>
        <v/>
      </c>
    </row>
    <row r="147" spans="1:6">
      <c r="A147" s="1" t="str">
        <f>IFERROR(INDEX(Players!$B$4:$B$503,MATCH(144,Players!$L$4:$L$503,0)),"")</f>
        <v/>
      </c>
      <c r="B147" s="1" t="str">
        <f>IFERROR(INDEX(Players!$C$4:$C$503,MATCH(144,Players!$L$4:$L$503,0)),"")</f>
        <v/>
      </c>
      <c r="C147" s="1" t="str">
        <f>IFERROR(INDEX(Players!$D$4:$D$503,MATCH(144,Players!$L$4:$L$503,0)),"")</f>
        <v/>
      </c>
      <c r="D147" s="7" t="str">
        <f>IFERROR(INDEX(Players!$E$4:$E$503,MATCH(144,Players!$L$4:$L$503,0)),"")</f>
        <v/>
      </c>
      <c r="E147" s="1" t="str">
        <f>IFERROR(INDEX(Players!$F$4:$F$503,MATCH(144,Players!$L$4:$L$503,0)),"")</f>
        <v/>
      </c>
      <c r="F147" s="1" t="str">
        <f>IFERROR(INDEX(Players!$I$4:$I$503,MATCH(144,Players!$L$4:$L$503,0)),"")</f>
        <v/>
      </c>
    </row>
    <row r="148" spans="1:6">
      <c r="A148" s="1" t="str">
        <f>IFERROR(INDEX(Players!$B$4:$B$503,MATCH(145,Players!$L$4:$L$503,0)),"")</f>
        <v/>
      </c>
      <c r="B148" s="1" t="str">
        <f>IFERROR(INDEX(Players!$C$4:$C$503,MATCH(145,Players!$L$4:$L$503,0)),"")</f>
        <v/>
      </c>
      <c r="C148" s="1" t="str">
        <f>IFERROR(INDEX(Players!$D$4:$D$503,MATCH(145,Players!$L$4:$L$503,0)),"")</f>
        <v/>
      </c>
      <c r="D148" s="7" t="str">
        <f>IFERROR(INDEX(Players!$E$4:$E$503,MATCH(145,Players!$L$4:$L$503,0)),"")</f>
        <v/>
      </c>
      <c r="E148" s="1" t="str">
        <f>IFERROR(INDEX(Players!$F$4:$F$503,MATCH(145,Players!$L$4:$L$503,0)),"")</f>
        <v/>
      </c>
      <c r="F148" s="1" t="str">
        <f>IFERROR(INDEX(Players!$I$4:$I$503,MATCH(145,Players!$L$4:$L$503,0)),"")</f>
        <v/>
      </c>
    </row>
    <row r="149" spans="1:6">
      <c r="A149" s="1" t="str">
        <f>IFERROR(INDEX(Players!$B$4:$B$503,MATCH(146,Players!$L$4:$L$503,0)),"")</f>
        <v/>
      </c>
      <c r="B149" s="1" t="str">
        <f>IFERROR(INDEX(Players!$C$4:$C$503,MATCH(146,Players!$L$4:$L$503,0)),"")</f>
        <v/>
      </c>
      <c r="C149" s="1" t="str">
        <f>IFERROR(INDEX(Players!$D$4:$D$503,MATCH(146,Players!$L$4:$L$503,0)),"")</f>
        <v/>
      </c>
      <c r="D149" s="7" t="str">
        <f>IFERROR(INDEX(Players!$E$4:$E$503,MATCH(146,Players!$L$4:$L$503,0)),"")</f>
        <v/>
      </c>
      <c r="E149" s="1" t="str">
        <f>IFERROR(INDEX(Players!$F$4:$F$503,MATCH(146,Players!$L$4:$L$503,0)),"")</f>
        <v/>
      </c>
      <c r="F149" s="1" t="str">
        <f>IFERROR(INDEX(Players!$I$4:$I$503,MATCH(146,Players!$L$4:$L$503,0)),"")</f>
        <v/>
      </c>
    </row>
    <row r="150" spans="1:6">
      <c r="A150" s="1" t="str">
        <f>IFERROR(INDEX(Players!$B$4:$B$503,MATCH(147,Players!$L$4:$L$503,0)),"")</f>
        <v/>
      </c>
      <c r="B150" s="1" t="str">
        <f>IFERROR(INDEX(Players!$C$4:$C$503,MATCH(147,Players!$L$4:$L$503,0)),"")</f>
        <v/>
      </c>
      <c r="C150" s="1" t="str">
        <f>IFERROR(INDEX(Players!$D$4:$D$503,MATCH(147,Players!$L$4:$L$503,0)),"")</f>
        <v/>
      </c>
      <c r="D150" s="7" t="str">
        <f>IFERROR(INDEX(Players!$E$4:$E$503,MATCH(147,Players!$L$4:$L$503,0)),"")</f>
        <v/>
      </c>
      <c r="E150" s="1" t="str">
        <f>IFERROR(INDEX(Players!$F$4:$F$503,MATCH(147,Players!$L$4:$L$503,0)),"")</f>
        <v/>
      </c>
      <c r="F150" s="1" t="str">
        <f>IFERROR(INDEX(Players!$I$4:$I$503,MATCH(147,Players!$L$4:$L$503,0)),"")</f>
        <v/>
      </c>
    </row>
    <row r="151" spans="1:6">
      <c r="A151" s="1" t="str">
        <f>IFERROR(INDEX(Players!$B$4:$B$503,MATCH(148,Players!$L$4:$L$503,0)),"")</f>
        <v/>
      </c>
      <c r="B151" s="1" t="str">
        <f>IFERROR(INDEX(Players!$C$4:$C$503,MATCH(148,Players!$L$4:$L$503,0)),"")</f>
        <v/>
      </c>
      <c r="C151" s="1" t="str">
        <f>IFERROR(INDEX(Players!$D$4:$D$503,MATCH(148,Players!$L$4:$L$503,0)),"")</f>
        <v/>
      </c>
      <c r="D151" s="7" t="str">
        <f>IFERROR(INDEX(Players!$E$4:$E$503,MATCH(148,Players!$L$4:$L$503,0)),"")</f>
        <v/>
      </c>
      <c r="E151" s="1" t="str">
        <f>IFERROR(INDEX(Players!$F$4:$F$503,MATCH(148,Players!$L$4:$L$503,0)),"")</f>
        <v/>
      </c>
      <c r="F151" s="1" t="str">
        <f>IFERROR(INDEX(Players!$I$4:$I$503,MATCH(148,Players!$L$4:$L$503,0)),"")</f>
        <v/>
      </c>
    </row>
    <row r="152" spans="1:6">
      <c r="A152" s="1" t="str">
        <f>IFERROR(INDEX(Players!$B$4:$B$503,MATCH(149,Players!$L$4:$L$503,0)),"")</f>
        <v/>
      </c>
      <c r="B152" s="1" t="str">
        <f>IFERROR(INDEX(Players!$C$4:$C$503,MATCH(149,Players!$L$4:$L$503,0)),"")</f>
        <v/>
      </c>
      <c r="C152" s="1" t="str">
        <f>IFERROR(INDEX(Players!$D$4:$D$503,MATCH(149,Players!$L$4:$L$503,0)),"")</f>
        <v/>
      </c>
      <c r="D152" s="7" t="str">
        <f>IFERROR(INDEX(Players!$E$4:$E$503,MATCH(149,Players!$L$4:$L$503,0)),"")</f>
        <v/>
      </c>
      <c r="E152" s="1" t="str">
        <f>IFERROR(INDEX(Players!$F$4:$F$503,MATCH(149,Players!$L$4:$L$503,0)),"")</f>
        <v/>
      </c>
      <c r="F152" s="1" t="str">
        <f>IFERROR(INDEX(Players!$I$4:$I$503,MATCH(149,Players!$L$4:$L$503,0)),"")</f>
        <v/>
      </c>
    </row>
    <row r="153" spans="1:6">
      <c r="A153" s="1" t="str">
        <f>IFERROR(INDEX(Players!$B$4:$B$503,MATCH(150,Players!$L$4:$L$503,0)),"")</f>
        <v/>
      </c>
      <c r="B153" s="1" t="str">
        <f>IFERROR(INDEX(Players!$C$4:$C$503,MATCH(150,Players!$L$4:$L$503,0)),"")</f>
        <v/>
      </c>
      <c r="C153" s="1" t="str">
        <f>IFERROR(INDEX(Players!$D$4:$D$503,MATCH(150,Players!$L$4:$L$503,0)),"")</f>
        <v/>
      </c>
      <c r="D153" s="7" t="str">
        <f>IFERROR(INDEX(Players!$E$4:$E$503,MATCH(150,Players!$L$4:$L$503,0)),"")</f>
        <v/>
      </c>
      <c r="E153" s="1" t="str">
        <f>IFERROR(INDEX(Players!$F$4:$F$503,MATCH(150,Players!$L$4:$L$503,0)),"")</f>
        <v/>
      </c>
      <c r="F153" s="1" t="str">
        <f>IFERROR(INDEX(Players!$I$4:$I$503,MATCH(150,Players!$L$4:$L$503,0)),"")</f>
        <v/>
      </c>
    </row>
    <row r="154" spans="1:6">
      <c r="A154" s="1" t="str">
        <f>IFERROR(INDEX(Players!$B$4:$B$503,MATCH(151,Players!$L$4:$L$503,0)),"")</f>
        <v/>
      </c>
      <c r="B154" s="1" t="str">
        <f>IFERROR(INDEX(Players!$C$4:$C$503,MATCH(151,Players!$L$4:$L$503,0)),"")</f>
        <v/>
      </c>
      <c r="C154" s="1" t="str">
        <f>IFERROR(INDEX(Players!$D$4:$D$503,MATCH(151,Players!$L$4:$L$503,0)),"")</f>
        <v/>
      </c>
      <c r="D154" s="7" t="str">
        <f>IFERROR(INDEX(Players!$E$4:$E$503,MATCH(151,Players!$L$4:$L$503,0)),"")</f>
        <v/>
      </c>
      <c r="E154" s="1" t="str">
        <f>IFERROR(INDEX(Players!$F$4:$F$503,MATCH(151,Players!$L$4:$L$503,0)),"")</f>
        <v/>
      </c>
      <c r="F154" s="1" t="str">
        <f>IFERROR(INDEX(Players!$I$4:$I$503,MATCH(151,Players!$L$4:$L$503,0)),"")</f>
        <v/>
      </c>
    </row>
    <row r="155" spans="1:6">
      <c r="A155" s="1" t="str">
        <f>IFERROR(INDEX(Players!$B$4:$B$503,MATCH(152,Players!$L$4:$L$503,0)),"")</f>
        <v/>
      </c>
      <c r="B155" s="1" t="str">
        <f>IFERROR(INDEX(Players!$C$4:$C$503,MATCH(152,Players!$L$4:$L$503,0)),"")</f>
        <v/>
      </c>
      <c r="C155" s="1" t="str">
        <f>IFERROR(INDEX(Players!$D$4:$D$503,MATCH(152,Players!$L$4:$L$503,0)),"")</f>
        <v/>
      </c>
      <c r="D155" s="7" t="str">
        <f>IFERROR(INDEX(Players!$E$4:$E$503,MATCH(152,Players!$L$4:$L$503,0)),"")</f>
        <v/>
      </c>
      <c r="E155" s="1" t="str">
        <f>IFERROR(INDEX(Players!$F$4:$F$503,MATCH(152,Players!$L$4:$L$503,0)),"")</f>
        <v/>
      </c>
      <c r="F155" s="1" t="str">
        <f>IFERROR(INDEX(Players!$I$4:$I$503,MATCH(152,Players!$L$4:$L$503,0)),"")</f>
        <v/>
      </c>
    </row>
    <row r="156" spans="1:6">
      <c r="A156" s="1" t="str">
        <f>IFERROR(INDEX(Players!$B$4:$B$503,MATCH(153,Players!$L$4:$L$503,0)),"")</f>
        <v/>
      </c>
      <c r="B156" s="1" t="str">
        <f>IFERROR(INDEX(Players!$C$4:$C$503,MATCH(153,Players!$L$4:$L$503,0)),"")</f>
        <v/>
      </c>
      <c r="C156" s="1" t="str">
        <f>IFERROR(INDEX(Players!$D$4:$D$503,MATCH(153,Players!$L$4:$L$503,0)),"")</f>
        <v/>
      </c>
      <c r="D156" s="7" t="str">
        <f>IFERROR(INDEX(Players!$E$4:$E$503,MATCH(153,Players!$L$4:$L$503,0)),"")</f>
        <v/>
      </c>
      <c r="E156" s="1" t="str">
        <f>IFERROR(INDEX(Players!$F$4:$F$503,MATCH(153,Players!$L$4:$L$503,0)),"")</f>
        <v/>
      </c>
      <c r="F156" s="1" t="str">
        <f>IFERROR(INDEX(Players!$I$4:$I$503,MATCH(153,Players!$L$4:$L$503,0)),"")</f>
        <v/>
      </c>
    </row>
    <row r="157" spans="1:6">
      <c r="A157" s="1" t="str">
        <f>IFERROR(INDEX(Players!$B$4:$B$503,MATCH(154,Players!$L$4:$L$503,0)),"")</f>
        <v/>
      </c>
      <c r="B157" s="1" t="str">
        <f>IFERROR(INDEX(Players!$C$4:$C$503,MATCH(154,Players!$L$4:$L$503,0)),"")</f>
        <v/>
      </c>
      <c r="C157" s="1" t="str">
        <f>IFERROR(INDEX(Players!$D$4:$D$503,MATCH(154,Players!$L$4:$L$503,0)),"")</f>
        <v/>
      </c>
      <c r="D157" s="7" t="str">
        <f>IFERROR(INDEX(Players!$E$4:$E$503,MATCH(154,Players!$L$4:$L$503,0)),"")</f>
        <v/>
      </c>
      <c r="E157" s="1" t="str">
        <f>IFERROR(INDEX(Players!$F$4:$F$503,MATCH(154,Players!$L$4:$L$503,0)),"")</f>
        <v/>
      </c>
      <c r="F157" s="1" t="str">
        <f>IFERROR(INDEX(Players!$I$4:$I$503,MATCH(154,Players!$L$4:$L$503,0)),"")</f>
        <v/>
      </c>
    </row>
    <row r="158" spans="1:6">
      <c r="A158" s="1" t="str">
        <f>IFERROR(INDEX(Players!$B$4:$B$503,MATCH(155,Players!$L$4:$L$503,0)),"")</f>
        <v/>
      </c>
      <c r="B158" s="1" t="str">
        <f>IFERROR(INDEX(Players!$C$4:$C$503,MATCH(155,Players!$L$4:$L$503,0)),"")</f>
        <v/>
      </c>
      <c r="C158" s="1" t="str">
        <f>IFERROR(INDEX(Players!$D$4:$D$503,MATCH(155,Players!$L$4:$L$503,0)),"")</f>
        <v/>
      </c>
      <c r="D158" s="7" t="str">
        <f>IFERROR(INDEX(Players!$E$4:$E$503,MATCH(155,Players!$L$4:$L$503,0)),"")</f>
        <v/>
      </c>
      <c r="E158" s="1" t="str">
        <f>IFERROR(INDEX(Players!$F$4:$F$503,MATCH(155,Players!$L$4:$L$503,0)),"")</f>
        <v/>
      </c>
      <c r="F158" s="1" t="str">
        <f>IFERROR(INDEX(Players!$I$4:$I$503,MATCH(155,Players!$L$4:$L$503,0)),"")</f>
        <v/>
      </c>
    </row>
    <row r="159" spans="1:6">
      <c r="A159" s="1" t="str">
        <f>IFERROR(INDEX(Players!$B$4:$B$503,MATCH(156,Players!$L$4:$L$503,0)),"")</f>
        <v/>
      </c>
      <c r="B159" s="1" t="str">
        <f>IFERROR(INDEX(Players!$C$4:$C$503,MATCH(156,Players!$L$4:$L$503,0)),"")</f>
        <v/>
      </c>
      <c r="C159" s="1" t="str">
        <f>IFERROR(INDEX(Players!$D$4:$D$503,MATCH(156,Players!$L$4:$L$503,0)),"")</f>
        <v/>
      </c>
      <c r="D159" s="7" t="str">
        <f>IFERROR(INDEX(Players!$E$4:$E$503,MATCH(156,Players!$L$4:$L$503,0)),"")</f>
        <v/>
      </c>
      <c r="E159" s="1" t="str">
        <f>IFERROR(INDEX(Players!$F$4:$F$503,MATCH(156,Players!$L$4:$L$503,0)),"")</f>
        <v/>
      </c>
      <c r="F159" s="1" t="str">
        <f>IFERROR(INDEX(Players!$I$4:$I$503,MATCH(156,Players!$L$4:$L$503,0)),"")</f>
        <v/>
      </c>
    </row>
    <row r="160" spans="1:6">
      <c r="A160" s="1" t="str">
        <f>IFERROR(INDEX(Players!$B$4:$B$503,MATCH(157,Players!$L$4:$L$503,0)),"")</f>
        <v/>
      </c>
      <c r="B160" s="1" t="str">
        <f>IFERROR(INDEX(Players!$C$4:$C$503,MATCH(157,Players!$L$4:$L$503,0)),"")</f>
        <v/>
      </c>
      <c r="C160" s="1" t="str">
        <f>IFERROR(INDEX(Players!$D$4:$D$503,MATCH(157,Players!$L$4:$L$503,0)),"")</f>
        <v/>
      </c>
      <c r="D160" s="7" t="str">
        <f>IFERROR(INDEX(Players!$E$4:$E$503,MATCH(157,Players!$L$4:$L$503,0)),"")</f>
        <v/>
      </c>
      <c r="E160" s="1" t="str">
        <f>IFERROR(INDEX(Players!$F$4:$F$503,MATCH(157,Players!$L$4:$L$503,0)),"")</f>
        <v/>
      </c>
      <c r="F160" s="1" t="str">
        <f>IFERROR(INDEX(Players!$I$4:$I$503,MATCH(157,Players!$L$4:$L$503,0)),"")</f>
        <v/>
      </c>
    </row>
    <row r="161" spans="1:6">
      <c r="A161" s="1" t="str">
        <f>IFERROR(INDEX(Players!$B$4:$B$503,MATCH(158,Players!$L$4:$L$503,0)),"")</f>
        <v/>
      </c>
      <c r="B161" s="1" t="str">
        <f>IFERROR(INDEX(Players!$C$4:$C$503,MATCH(158,Players!$L$4:$L$503,0)),"")</f>
        <v/>
      </c>
      <c r="C161" s="1" t="str">
        <f>IFERROR(INDEX(Players!$D$4:$D$503,MATCH(158,Players!$L$4:$L$503,0)),"")</f>
        <v/>
      </c>
      <c r="D161" s="7" t="str">
        <f>IFERROR(INDEX(Players!$E$4:$E$503,MATCH(158,Players!$L$4:$L$503,0)),"")</f>
        <v/>
      </c>
      <c r="E161" s="1" t="str">
        <f>IFERROR(INDEX(Players!$F$4:$F$503,MATCH(158,Players!$L$4:$L$503,0)),"")</f>
        <v/>
      </c>
      <c r="F161" s="1" t="str">
        <f>IFERROR(INDEX(Players!$I$4:$I$503,MATCH(158,Players!$L$4:$L$503,0)),"")</f>
        <v/>
      </c>
    </row>
    <row r="162" spans="1:6">
      <c r="A162" s="1" t="str">
        <f>IFERROR(INDEX(Players!$B$4:$B$503,MATCH(159,Players!$L$4:$L$503,0)),"")</f>
        <v/>
      </c>
      <c r="B162" s="1" t="str">
        <f>IFERROR(INDEX(Players!$C$4:$C$503,MATCH(159,Players!$L$4:$L$503,0)),"")</f>
        <v/>
      </c>
      <c r="C162" s="1" t="str">
        <f>IFERROR(INDEX(Players!$D$4:$D$503,MATCH(159,Players!$L$4:$L$503,0)),"")</f>
        <v/>
      </c>
      <c r="D162" s="7" t="str">
        <f>IFERROR(INDEX(Players!$E$4:$E$503,MATCH(159,Players!$L$4:$L$503,0)),"")</f>
        <v/>
      </c>
      <c r="E162" s="1" t="str">
        <f>IFERROR(INDEX(Players!$F$4:$F$503,MATCH(159,Players!$L$4:$L$503,0)),"")</f>
        <v/>
      </c>
      <c r="F162" s="1" t="str">
        <f>IFERROR(INDEX(Players!$I$4:$I$503,MATCH(159,Players!$L$4:$L$503,0)),"")</f>
        <v/>
      </c>
    </row>
    <row r="163" spans="1:6">
      <c r="A163" s="1" t="str">
        <f>IFERROR(INDEX(Players!$B$4:$B$503,MATCH(160,Players!$L$4:$L$503,0)),"")</f>
        <v/>
      </c>
      <c r="B163" s="1" t="str">
        <f>IFERROR(INDEX(Players!$C$4:$C$503,MATCH(160,Players!$L$4:$L$503,0)),"")</f>
        <v/>
      </c>
      <c r="C163" s="1" t="str">
        <f>IFERROR(INDEX(Players!$D$4:$D$503,MATCH(160,Players!$L$4:$L$503,0)),"")</f>
        <v/>
      </c>
      <c r="D163" s="7" t="str">
        <f>IFERROR(INDEX(Players!$E$4:$E$503,MATCH(160,Players!$L$4:$L$503,0)),"")</f>
        <v/>
      </c>
      <c r="E163" s="1" t="str">
        <f>IFERROR(INDEX(Players!$F$4:$F$503,MATCH(160,Players!$L$4:$L$503,0)),"")</f>
        <v/>
      </c>
      <c r="F163" s="1" t="str">
        <f>IFERROR(INDEX(Players!$I$4:$I$503,MATCH(160,Players!$L$4:$L$503,0)),"")</f>
        <v/>
      </c>
    </row>
    <row r="164" spans="1:6">
      <c r="A164" s="1" t="str">
        <f>IFERROR(INDEX(Players!$B$4:$B$503,MATCH(161,Players!$L$4:$L$503,0)),"")</f>
        <v/>
      </c>
      <c r="B164" s="1" t="str">
        <f>IFERROR(INDEX(Players!$C$4:$C$503,MATCH(161,Players!$L$4:$L$503,0)),"")</f>
        <v/>
      </c>
      <c r="C164" s="1" t="str">
        <f>IFERROR(INDEX(Players!$D$4:$D$503,MATCH(161,Players!$L$4:$L$503,0)),"")</f>
        <v/>
      </c>
      <c r="D164" s="7" t="str">
        <f>IFERROR(INDEX(Players!$E$4:$E$503,MATCH(161,Players!$L$4:$L$503,0)),"")</f>
        <v/>
      </c>
      <c r="E164" s="1" t="str">
        <f>IFERROR(INDEX(Players!$F$4:$F$503,MATCH(161,Players!$L$4:$L$503,0)),"")</f>
        <v/>
      </c>
      <c r="F164" s="1" t="str">
        <f>IFERROR(INDEX(Players!$I$4:$I$503,MATCH(161,Players!$L$4:$L$503,0)),"")</f>
        <v/>
      </c>
    </row>
    <row r="165" spans="1:6">
      <c r="A165" s="1" t="str">
        <f>IFERROR(INDEX(Players!$B$4:$B$503,MATCH(162,Players!$L$4:$L$503,0)),"")</f>
        <v/>
      </c>
      <c r="B165" s="1" t="str">
        <f>IFERROR(INDEX(Players!$C$4:$C$503,MATCH(162,Players!$L$4:$L$503,0)),"")</f>
        <v/>
      </c>
      <c r="C165" s="1" t="str">
        <f>IFERROR(INDEX(Players!$D$4:$D$503,MATCH(162,Players!$L$4:$L$503,0)),"")</f>
        <v/>
      </c>
      <c r="D165" s="7" t="str">
        <f>IFERROR(INDEX(Players!$E$4:$E$503,MATCH(162,Players!$L$4:$L$503,0)),"")</f>
        <v/>
      </c>
      <c r="E165" s="1" t="str">
        <f>IFERROR(INDEX(Players!$F$4:$F$503,MATCH(162,Players!$L$4:$L$503,0)),"")</f>
        <v/>
      </c>
      <c r="F165" s="1" t="str">
        <f>IFERROR(INDEX(Players!$I$4:$I$503,MATCH(162,Players!$L$4:$L$503,0)),"")</f>
        <v/>
      </c>
    </row>
    <row r="166" spans="1:6">
      <c r="A166" s="1" t="str">
        <f>IFERROR(INDEX(Players!$B$4:$B$503,MATCH(163,Players!$L$4:$L$503,0)),"")</f>
        <v/>
      </c>
      <c r="B166" s="1" t="str">
        <f>IFERROR(INDEX(Players!$C$4:$C$503,MATCH(163,Players!$L$4:$L$503,0)),"")</f>
        <v/>
      </c>
      <c r="C166" s="1" t="str">
        <f>IFERROR(INDEX(Players!$D$4:$D$503,MATCH(163,Players!$L$4:$L$503,0)),"")</f>
        <v/>
      </c>
      <c r="D166" s="7" t="str">
        <f>IFERROR(INDEX(Players!$E$4:$E$503,MATCH(163,Players!$L$4:$L$503,0)),"")</f>
        <v/>
      </c>
      <c r="E166" s="1" t="str">
        <f>IFERROR(INDEX(Players!$F$4:$F$503,MATCH(163,Players!$L$4:$L$503,0)),"")</f>
        <v/>
      </c>
      <c r="F166" s="1" t="str">
        <f>IFERROR(INDEX(Players!$I$4:$I$503,MATCH(163,Players!$L$4:$L$503,0)),"")</f>
        <v/>
      </c>
    </row>
    <row r="167" spans="1:6">
      <c r="A167" s="1" t="str">
        <f>IFERROR(INDEX(Players!$B$4:$B$503,MATCH(164,Players!$L$4:$L$503,0)),"")</f>
        <v/>
      </c>
      <c r="B167" s="1" t="str">
        <f>IFERROR(INDEX(Players!$C$4:$C$503,MATCH(164,Players!$L$4:$L$503,0)),"")</f>
        <v/>
      </c>
      <c r="C167" s="1" t="str">
        <f>IFERROR(INDEX(Players!$D$4:$D$503,MATCH(164,Players!$L$4:$L$503,0)),"")</f>
        <v/>
      </c>
      <c r="D167" s="7" t="str">
        <f>IFERROR(INDEX(Players!$E$4:$E$503,MATCH(164,Players!$L$4:$L$503,0)),"")</f>
        <v/>
      </c>
      <c r="E167" s="1" t="str">
        <f>IFERROR(INDEX(Players!$F$4:$F$503,MATCH(164,Players!$L$4:$L$503,0)),"")</f>
        <v/>
      </c>
      <c r="F167" s="1" t="str">
        <f>IFERROR(INDEX(Players!$I$4:$I$503,MATCH(164,Players!$L$4:$L$503,0)),"")</f>
        <v/>
      </c>
    </row>
    <row r="168" spans="1:6">
      <c r="A168" s="1" t="str">
        <f>IFERROR(INDEX(Players!$B$4:$B$503,MATCH(165,Players!$L$4:$L$503,0)),"")</f>
        <v/>
      </c>
      <c r="B168" s="1" t="str">
        <f>IFERROR(INDEX(Players!$C$4:$C$503,MATCH(165,Players!$L$4:$L$503,0)),"")</f>
        <v/>
      </c>
      <c r="C168" s="1" t="str">
        <f>IFERROR(INDEX(Players!$D$4:$D$503,MATCH(165,Players!$L$4:$L$503,0)),"")</f>
        <v/>
      </c>
      <c r="D168" s="7" t="str">
        <f>IFERROR(INDEX(Players!$E$4:$E$503,MATCH(165,Players!$L$4:$L$503,0)),"")</f>
        <v/>
      </c>
      <c r="E168" s="1" t="str">
        <f>IFERROR(INDEX(Players!$F$4:$F$503,MATCH(165,Players!$L$4:$L$503,0)),"")</f>
        <v/>
      </c>
      <c r="F168" s="1" t="str">
        <f>IFERROR(INDEX(Players!$I$4:$I$503,MATCH(165,Players!$L$4:$L$503,0)),"")</f>
        <v/>
      </c>
    </row>
    <row r="169" spans="1:6">
      <c r="A169" s="1" t="str">
        <f>IFERROR(INDEX(Players!$B$4:$B$503,MATCH(166,Players!$L$4:$L$503,0)),"")</f>
        <v/>
      </c>
      <c r="B169" s="1" t="str">
        <f>IFERROR(INDEX(Players!$C$4:$C$503,MATCH(166,Players!$L$4:$L$503,0)),"")</f>
        <v/>
      </c>
      <c r="C169" s="1" t="str">
        <f>IFERROR(INDEX(Players!$D$4:$D$503,MATCH(166,Players!$L$4:$L$503,0)),"")</f>
        <v/>
      </c>
      <c r="D169" s="7" t="str">
        <f>IFERROR(INDEX(Players!$E$4:$E$503,MATCH(166,Players!$L$4:$L$503,0)),"")</f>
        <v/>
      </c>
      <c r="E169" s="1" t="str">
        <f>IFERROR(INDEX(Players!$F$4:$F$503,MATCH(166,Players!$L$4:$L$503,0)),"")</f>
        <v/>
      </c>
      <c r="F169" s="1" t="str">
        <f>IFERROR(INDEX(Players!$I$4:$I$503,MATCH(166,Players!$L$4:$L$503,0)),"")</f>
        <v/>
      </c>
    </row>
    <row r="170" spans="1:6">
      <c r="A170" s="1" t="str">
        <f>IFERROR(INDEX(Players!$B$4:$B$503,MATCH(167,Players!$L$4:$L$503,0)),"")</f>
        <v/>
      </c>
      <c r="B170" s="1" t="str">
        <f>IFERROR(INDEX(Players!$C$4:$C$503,MATCH(167,Players!$L$4:$L$503,0)),"")</f>
        <v/>
      </c>
      <c r="C170" s="1" t="str">
        <f>IFERROR(INDEX(Players!$D$4:$D$503,MATCH(167,Players!$L$4:$L$503,0)),"")</f>
        <v/>
      </c>
      <c r="D170" s="7" t="str">
        <f>IFERROR(INDEX(Players!$E$4:$E$503,MATCH(167,Players!$L$4:$L$503,0)),"")</f>
        <v/>
      </c>
      <c r="E170" s="1" t="str">
        <f>IFERROR(INDEX(Players!$F$4:$F$503,MATCH(167,Players!$L$4:$L$503,0)),"")</f>
        <v/>
      </c>
      <c r="F170" s="1" t="str">
        <f>IFERROR(INDEX(Players!$I$4:$I$503,MATCH(167,Players!$L$4:$L$503,0)),"")</f>
        <v/>
      </c>
    </row>
    <row r="171" spans="1:6">
      <c r="A171" s="1" t="str">
        <f>IFERROR(INDEX(Players!$B$4:$B$503,MATCH(168,Players!$L$4:$L$503,0)),"")</f>
        <v/>
      </c>
      <c r="B171" s="1" t="str">
        <f>IFERROR(INDEX(Players!$C$4:$C$503,MATCH(168,Players!$L$4:$L$503,0)),"")</f>
        <v/>
      </c>
      <c r="C171" s="1" t="str">
        <f>IFERROR(INDEX(Players!$D$4:$D$503,MATCH(168,Players!$L$4:$L$503,0)),"")</f>
        <v/>
      </c>
      <c r="D171" s="7" t="str">
        <f>IFERROR(INDEX(Players!$E$4:$E$503,MATCH(168,Players!$L$4:$L$503,0)),"")</f>
        <v/>
      </c>
      <c r="E171" s="1" t="str">
        <f>IFERROR(INDEX(Players!$F$4:$F$503,MATCH(168,Players!$L$4:$L$503,0)),"")</f>
        <v/>
      </c>
      <c r="F171" s="1" t="str">
        <f>IFERROR(INDEX(Players!$I$4:$I$503,MATCH(168,Players!$L$4:$L$503,0)),"")</f>
        <v/>
      </c>
    </row>
    <row r="172" spans="1:6">
      <c r="A172" s="1" t="str">
        <f>IFERROR(INDEX(Players!$B$4:$B$503,MATCH(169,Players!$L$4:$L$503,0)),"")</f>
        <v/>
      </c>
      <c r="B172" s="1" t="str">
        <f>IFERROR(INDEX(Players!$C$4:$C$503,MATCH(169,Players!$L$4:$L$503,0)),"")</f>
        <v/>
      </c>
      <c r="C172" s="1" t="str">
        <f>IFERROR(INDEX(Players!$D$4:$D$503,MATCH(169,Players!$L$4:$L$503,0)),"")</f>
        <v/>
      </c>
      <c r="D172" s="7" t="str">
        <f>IFERROR(INDEX(Players!$E$4:$E$503,MATCH(169,Players!$L$4:$L$503,0)),"")</f>
        <v/>
      </c>
      <c r="E172" s="1" t="str">
        <f>IFERROR(INDEX(Players!$F$4:$F$503,MATCH(169,Players!$L$4:$L$503,0)),"")</f>
        <v/>
      </c>
      <c r="F172" s="1" t="str">
        <f>IFERROR(INDEX(Players!$I$4:$I$503,MATCH(169,Players!$L$4:$L$503,0)),"")</f>
        <v/>
      </c>
    </row>
    <row r="173" spans="1:6">
      <c r="A173" s="1" t="str">
        <f>IFERROR(INDEX(Players!$B$4:$B$503,MATCH(170,Players!$L$4:$L$503,0)),"")</f>
        <v/>
      </c>
      <c r="B173" s="1" t="str">
        <f>IFERROR(INDEX(Players!$C$4:$C$503,MATCH(170,Players!$L$4:$L$503,0)),"")</f>
        <v/>
      </c>
      <c r="C173" s="1" t="str">
        <f>IFERROR(INDEX(Players!$D$4:$D$503,MATCH(170,Players!$L$4:$L$503,0)),"")</f>
        <v/>
      </c>
      <c r="D173" s="7" t="str">
        <f>IFERROR(INDEX(Players!$E$4:$E$503,MATCH(170,Players!$L$4:$L$503,0)),"")</f>
        <v/>
      </c>
      <c r="E173" s="1" t="str">
        <f>IFERROR(INDEX(Players!$F$4:$F$503,MATCH(170,Players!$L$4:$L$503,0)),"")</f>
        <v/>
      </c>
      <c r="F173" s="1" t="str">
        <f>IFERROR(INDEX(Players!$I$4:$I$503,MATCH(170,Players!$L$4:$L$503,0)),"")</f>
        <v/>
      </c>
    </row>
    <row r="174" spans="1:6">
      <c r="A174" s="1" t="str">
        <f>IFERROR(INDEX(Players!$B$4:$B$503,MATCH(171,Players!$L$4:$L$503,0)),"")</f>
        <v/>
      </c>
      <c r="B174" s="1" t="str">
        <f>IFERROR(INDEX(Players!$C$4:$C$503,MATCH(171,Players!$L$4:$L$503,0)),"")</f>
        <v/>
      </c>
      <c r="C174" s="1" t="str">
        <f>IFERROR(INDEX(Players!$D$4:$D$503,MATCH(171,Players!$L$4:$L$503,0)),"")</f>
        <v/>
      </c>
      <c r="D174" s="7" t="str">
        <f>IFERROR(INDEX(Players!$E$4:$E$503,MATCH(171,Players!$L$4:$L$503,0)),"")</f>
        <v/>
      </c>
      <c r="E174" s="1" t="str">
        <f>IFERROR(INDEX(Players!$F$4:$F$503,MATCH(171,Players!$L$4:$L$503,0)),"")</f>
        <v/>
      </c>
      <c r="F174" s="1" t="str">
        <f>IFERROR(INDEX(Players!$I$4:$I$503,MATCH(171,Players!$L$4:$L$503,0)),"")</f>
        <v/>
      </c>
    </row>
    <row r="175" spans="1:6">
      <c r="A175" s="1" t="str">
        <f>IFERROR(INDEX(Players!$B$4:$B$503,MATCH(172,Players!$L$4:$L$503,0)),"")</f>
        <v/>
      </c>
      <c r="B175" s="1" t="str">
        <f>IFERROR(INDEX(Players!$C$4:$C$503,MATCH(172,Players!$L$4:$L$503,0)),"")</f>
        <v/>
      </c>
      <c r="C175" s="1" t="str">
        <f>IFERROR(INDEX(Players!$D$4:$D$503,MATCH(172,Players!$L$4:$L$503,0)),"")</f>
        <v/>
      </c>
      <c r="D175" s="7" t="str">
        <f>IFERROR(INDEX(Players!$E$4:$E$503,MATCH(172,Players!$L$4:$L$503,0)),"")</f>
        <v/>
      </c>
      <c r="E175" s="1" t="str">
        <f>IFERROR(INDEX(Players!$F$4:$F$503,MATCH(172,Players!$L$4:$L$503,0)),"")</f>
        <v/>
      </c>
      <c r="F175" s="1" t="str">
        <f>IFERROR(INDEX(Players!$I$4:$I$503,MATCH(172,Players!$L$4:$L$503,0)),"")</f>
        <v/>
      </c>
    </row>
    <row r="176" spans="1:6">
      <c r="A176" s="1" t="str">
        <f>IFERROR(INDEX(Players!$B$4:$B$503,MATCH(173,Players!$L$4:$L$503,0)),"")</f>
        <v/>
      </c>
      <c r="B176" s="1" t="str">
        <f>IFERROR(INDEX(Players!$C$4:$C$503,MATCH(173,Players!$L$4:$L$503,0)),"")</f>
        <v/>
      </c>
      <c r="C176" s="1" t="str">
        <f>IFERROR(INDEX(Players!$D$4:$D$503,MATCH(173,Players!$L$4:$L$503,0)),"")</f>
        <v/>
      </c>
      <c r="D176" s="7" t="str">
        <f>IFERROR(INDEX(Players!$E$4:$E$503,MATCH(173,Players!$L$4:$L$503,0)),"")</f>
        <v/>
      </c>
      <c r="E176" s="1" t="str">
        <f>IFERROR(INDEX(Players!$F$4:$F$503,MATCH(173,Players!$L$4:$L$503,0)),"")</f>
        <v/>
      </c>
      <c r="F176" s="1" t="str">
        <f>IFERROR(INDEX(Players!$I$4:$I$503,MATCH(173,Players!$L$4:$L$503,0)),"")</f>
        <v/>
      </c>
    </row>
    <row r="177" spans="1:6">
      <c r="A177" s="1" t="str">
        <f>IFERROR(INDEX(Players!$B$4:$B$503,MATCH(174,Players!$L$4:$L$503,0)),"")</f>
        <v/>
      </c>
      <c r="B177" s="1" t="str">
        <f>IFERROR(INDEX(Players!$C$4:$C$503,MATCH(174,Players!$L$4:$L$503,0)),"")</f>
        <v/>
      </c>
      <c r="C177" s="1" t="str">
        <f>IFERROR(INDEX(Players!$D$4:$D$503,MATCH(174,Players!$L$4:$L$503,0)),"")</f>
        <v/>
      </c>
      <c r="D177" s="7" t="str">
        <f>IFERROR(INDEX(Players!$E$4:$E$503,MATCH(174,Players!$L$4:$L$503,0)),"")</f>
        <v/>
      </c>
      <c r="E177" s="1" t="str">
        <f>IFERROR(INDEX(Players!$F$4:$F$503,MATCH(174,Players!$L$4:$L$503,0)),"")</f>
        <v/>
      </c>
      <c r="F177" s="1" t="str">
        <f>IFERROR(INDEX(Players!$I$4:$I$503,MATCH(174,Players!$L$4:$L$503,0)),"")</f>
        <v/>
      </c>
    </row>
    <row r="178" spans="1:6">
      <c r="A178" s="1" t="str">
        <f>IFERROR(INDEX(Players!$B$4:$B$503,MATCH(175,Players!$L$4:$L$503,0)),"")</f>
        <v/>
      </c>
      <c r="B178" s="1" t="str">
        <f>IFERROR(INDEX(Players!$C$4:$C$503,MATCH(175,Players!$L$4:$L$503,0)),"")</f>
        <v/>
      </c>
      <c r="C178" s="1" t="str">
        <f>IFERROR(INDEX(Players!$D$4:$D$503,MATCH(175,Players!$L$4:$L$503,0)),"")</f>
        <v/>
      </c>
      <c r="D178" s="7" t="str">
        <f>IFERROR(INDEX(Players!$E$4:$E$503,MATCH(175,Players!$L$4:$L$503,0)),"")</f>
        <v/>
      </c>
      <c r="E178" s="1" t="str">
        <f>IFERROR(INDEX(Players!$F$4:$F$503,MATCH(175,Players!$L$4:$L$503,0)),"")</f>
        <v/>
      </c>
      <c r="F178" s="1" t="str">
        <f>IFERROR(INDEX(Players!$I$4:$I$503,MATCH(175,Players!$L$4:$L$503,0)),"")</f>
        <v/>
      </c>
    </row>
    <row r="179" spans="1:6">
      <c r="A179" s="1" t="str">
        <f>IFERROR(INDEX(Players!$B$4:$B$503,MATCH(176,Players!$L$4:$L$503,0)),"")</f>
        <v/>
      </c>
      <c r="B179" s="1" t="str">
        <f>IFERROR(INDEX(Players!$C$4:$C$503,MATCH(176,Players!$L$4:$L$503,0)),"")</f>
        <v/>
      </c>
      <c r="C179" s="1" t="str">
        <f>IFERROR(INDEX(Players!$D$4:$D$503,MATCH(176,Players!$L$4:$L$503,0)),"")</f>
        <v/>
      </c>
      <c r="D179" s="7" t="str">
        <f>IFERROR(INDEX(Players!$E$4:$E$503,MATCH(176,Players!$L$4:$L$503,0)),"")</f>
        <v/>
      </c>
      <c r="E179" s="1" t="str">
        <f>IFERROR(INDEX(Players!$F$4:$F$503,MATCH(176,Players!$L$4:$L$503,0)),"")</f>
        <v/>
      </c>
      <c r="F179" s="1" t="str">
        <f>IFERROR(INDEX(Players!$I$4:$I$503,MATCH(176,Players!$L$4:$L$503,0)),"")</f>
        <v/>
      </c>
    </row>
    <row r="180" spans="1:6">
      <c r="A180" s="1" t="str">
        <f>IFERROR(INDEX(Players!$B$4:$B$503,MATCH(177,Players!$L$4:$L$503,0)),"")</f>
        <v/>
      </c>
      <c r="B180" s="1" t="str">
        <f>IFERROR(INDEX(Players!$C$4:$C$503,MATCH(177,Players!$L$4:$L$503,0)),"")</f>
        <v/>
      </c>
      <c r="C180" s="1" t="str">
        <f>IFERROR(INDEX(Players!$D$4:$D$503,MATCH(177,Players!$L$4:$L$503,0)),"")</f>
        <v/>
      </c>
      <c r="D180" s="7" t="str">
        <f>IFERROR(INDEX(Players!$E$4:$E$503,MATCH(177,Players!$L$4:$L$503,0)),"")</f>
        <v/>
      </c>
      <c r="E180" s="1" t="str">
        <f>IFERROR(INDEX(Players!$F$4:$F$503,MATCH(177,Players!$L$4:$L$503,0)),"")</f>
        <v/>
      </c>
      <c r="F180" s="1" t="str">
        <f>IFERROR(INDEX(Players!$I$4:$I$503,MATCH(177,Players!$L$4:$L$503,0)),"")</f>
        <v/>
      </c>
    </row>
    <row r="181" spans="1:6">
      <c r="A181" s="1" t="str">
        <f>IFERROR(INDEX(Players!$B$4:$B$503,MATCH(178,Players!$L$4:$L$503,0)),"")</f>
        <v/>
      </c>
      <c r="B181" s="1" t="str">
        <f>IFERROR(INDEX(Players!$C$4:$C$503,MATCH(178,Players!$L$4:$L$503,0)),"")</f>
        <v/>
      </c>
      <c r="C181" s="1" t="str">
        <f>IFERROR(INDEX(Players!$D$4:$D$503,MATCH(178,Players!$L$4:$L$503,0)),"")</f>
        <v/>
      </c>
      <c r="D181" s="7" t="str">
        <f>IFERROR(INDEX(Players!$E$4:$E$503,MATCH(178,Players!$L$4:$L$503,0)),"")</f>
        <v/>
      </c>
      <c r="E181" s="1" t="str">
        <f>IFERROR(INDEX(Players!$F$4:$F$503,MATCH(178,Players!$L$4:$L$503,0)),"")</f>
        <v/>
      </c>
      <c r="F181" s="1" t="str">
        <f>IFERROR(INDEX(Players!$I$4:$I$503,MATCH(178,Players!$L$4:$L$503,0)),"")</f>
        <v/>
      </c>
    </row>
    <row r="182" spans="1:6">
      <c r="A182" s="1" t="str">
        <f>IFERROR(INDEX(Players!$B$4:$B$503,MATCH(179,Players!$L$4:$L$503,0)),"")</f>
        <v/>
      </c>
      <c r="B182" s="1" t="str">
        <f>IFERROR(INDEX(Players!$C$4:$C$503,MATCH(179,Players!$L$4:$L$503,0)),"")</f>
        <v/>
      </c>
      <c r="C182" s="1" t="str">
        <f>IFERROR(INDEX(Players!$D$4:$D$503,MATCH(179,Players!$L$4:$L$503,0)),"")</f>
        <v/>
      </c>
      <c r="D182" s="7" t="str">
        <f>IFERROR(INDEX(Players!$E$4:$E$503,MATCH(179,Players!$L$4:$L$503,0)),"")</f>
        <v/>
      </c>
      <c r="E182" s="1" t="str">
        <f>IFERROR(INDEX(Players!$F$4:$F$503,MATCH(179,Players!$L$4:$L$503,0)),"")</f>
        <v/>
      </c>
      <c r="F182" s="1" t="str">
        <f>IFERROR(INDEX(Players!$I$4:$I$503,MATCH(179,Players!$L$4:$L$503,0)),"")</f>
        <v/>
      </c>
    </row>
    <row r="183" spans="1:6">
      <c r="A183" s="1" t="str">
        <f>IFERROR(INDEX(Players!$B$4:$B$503,MATCH(180,Players!$L$4:$L$503,0)),"")</f>
        <v/>
      </c>
      <c r="B183" s="1" t="str">
        <f>IFERROR(INDEX(Players!$C$4:$C$503,MATCH(180,Players!$L$4:$L$503,0)),"")</f>
        <v/>
      </c>
      <c r="C183" s="1" t="str">
        <f>IFERROR(INDEX(Players!$D$4:$D$503,MATCH(180,Players!$L$4:$L$503,0)),"")</f>
        <v/>
      </c>
      <c r="D183" s="7" t="str">
        <f>IFERROR(INDEX(Players!$E$4:$E$503,MATCH(180,Players!$L$4:$L$503,0)),"")</f>
        <v/>
      </c>
      <c r="E183" s="1" t="str">
        <f>IFERROR(INDEX(Players!$F$4:$F$503,MATCH(180,Players!$L$4:$L$503,0)),"")</f>
        <v/>
      </c>
      <c r="F183" s="1" t="str">
        <f>IFERROR(INDEX(Players!$I$4:$I$503,MATCH(180,Players!$L$4:$L$503,0)),"")</f>
        <v/>
      </c>
    </row>
    <row r="184" spans="1:6">
      <c r="A184" s="1" t="str">
        <f>IFERROR(INDEX(Players!$B$4:$B$503,MATCH(181,Players!$L$4:$L$503,0)),"")</f>
        <v/>
      </c>
      <c r="B184" s="1" t="str">
        <f>IFERROR(INDEX(Players!$C$4:$C$503,MATCH(181,Players!$L$4:$L$503,0)),"")</f>
        <v/>
      </c>
      <c r="C184" s="1" t="str">
        <f>IFERROR(INDEX(Players!$D$4:$D$503,MATCH(181,Players!$L$4:$L$503,0)),"")</f>
        <v/>
      </c>
      <c r="D184" s="7" t="str">
        <f>IFERROR(INDEX(Players!$E$4:$E$503,MATCH(181,Players!$L$4:$L$503,0)),"")</f>
        <v/>
      </c>
      <c r="E184" s="1" t="str">
        <f>IFERROR(INDEX(Players!$F$4:$F$503,MATCH(181,Players!$L$4:$L$503,0)),"")</f>
        <v/>
      </c>
      <c r="F184" s="1" t="str">
        <f>IFERROR(INDEX(Players!$I$4:$I$503,MATCH(181,Players!$L$4:$L$503,0)),"")</f>
        <v/>
      </c>
    </row>
    <row r="185" spans="1:6">
      <c r="A185" s="1" t="str">
        <f>IFERROR(INDEX(Players!$B$4:$B$503,MATCH(182,Players!$L$4:$L$503,0)),"")</f>
        <v/>
      </c>
      <c r="B185" s="1" t="str">
        <f>IFERROR(INDEX(Players!$C$4:$C$503,MATCH(182,Players!$L$4:$L$503,0)),"")</f>
        <v/>
      </c>
      <c r="C185" s="1" t="str">
        <f>IFERROR(INDEX(Players!$D$4:$D$503,MATCH(182,Players!$L$4:$L$503,0)),"")</f>
        <v/>
      </c>
      <c r="D185" s="7" t="str">
        <f>IFERROR(INDEX(Players!$E$4:$E$503,MATCH(182,Players!$L$4:$L$503,0)),"")</f>
        <v/>
      </c>
      <c r="E185" s="1" t="str">
        <f>IFERROR(INDEX(Players!$F$4:$F$503,MATCH(182,Players!$L$4:$L$503,0)),"")</f>
        <v/>
      </c>
      <c r="F185" s="1" t="str">
        <f>IFERROR(INDEX(Players!$I$4:$I$503,MATCH(182,Players!$L$4:$L$503,0)),"")</f>
        <v/>
      </c>
    </row>
    <row r="186" spans="1:6">
      <c r="A186" s="1" t="str">
        <f>IFERROR(INDEX(Players!$B$4:$B$503,MATCH(183,Players!$L$4:$L$503,0)),"")</f>
        <v/>
      </c>
      <c r="B186" s="1" t="str">
        <f>IFERROR(INDEX(Players!$C$4:$C$503,MATCH(183,Players!$L$4:$L$503,0)),"")</f>
        <v/>
      </c>
      <c r="C186" s="1" t="str">
        <f>IFERROR(INDEX(Players!$D$4:$D$503,MATCH(183,Players!$L$4:$L$503,0)),"")</f>
        <v/>
      </c>
      <c r="D186" s="7" t="str">
        <f>IFERROR(INDEX(Players!$E$4:$E$503,MATCH(183,Players!$L$4:$L$503,0)),"")</f>
        <v/>
      </c>
      <c r="E186" s="1" t="str">
        <f>IFERROR(INDEX(Players!$F$4:$F$503,MATCH(183,Players!$L$4:$L$503,0)),"")</f>
        <v/>
      </c>
      <c r="F186" s="1" t="str">
        <f>IFERROR(INDEX(Players!$I$4:$I$503,MATCH(183,Players!$L$4:$L$503,0)),"")</f>
        <v/>
      </c>
    </row>
    <row r="187" spans="1:6">
      <c r="A187" s="1" t="str">
        <f>IFERROR(INDEX(Players!$B$4:$B$503,MATCH(184,Players!$L$4:$L$503,0)),"")</f>
        <v/>
      </c>
      <c r="B187" s="1" t="str">
        <f>IFERROR(INDEX(Players!$C$4:$C$503,MATCH(184,Players!$L$4:$L$503,0)),"")</f>
        <v/>
      </c>
      <c r="C187" s="1" t="str">
        <f>IFERROR(INDEX(Players!$D$4:$D$503,MATCH(184,Players!$L$4:$L$503,0)),"")</f>
        <v/>
      </c>
      <c r="D187" s="7" t="str">
        <f>IFERROR(INDEX(Players!$E$4:$E$503,MATCH(184,Players!$L$4:$L$503,0)),"")</f>
        <v/>
      </c>
      <c r="E187" s="1" t="str">
        <f>IFERROR(INDEX(Players!$F$4:$F$503,MATCH(184,Players!$L$4:$L$503,0)),"")</f>
        <v/>
      </c>
      <c r="F187" s="1" t="str">
        <f>IFERROR(INDEX(Players!$I$4:$I$503,MATCH(184,Players!$L$4:$L$503,0)),"")</f>
        <v/>
      </c>
    </row>
    <row r="188" spans="1:6">
      <c r="A188" s="1" t="str">
        <f>IFERROR(INDEX(Players!$B$4:$B$503,MATCH(185,Players!$L$4:$L$503,0)),"")</f>
        <v/>
      </c>
      <c r="B188" s="1" t="str">
        <f>IFERROR(INDEX(Players!$C$4:$C$503,MATCH(185,Players!$L$4:$L$503,0)),"")</f>
        <v/>
      </c>
      <c r="C188" s="1" t="str">
        <f>IFERROR(INDEX(Players!$D$4:$D$503,MATCH(185,Players!$L$4:$L$503,0)),"")</f>
        <v/>
      </c>
      <c r="D188" s="7" t="str">
        <f>IFERROR(INDEX(Players!$E$4:$E$503,MATCH(185,Players!$L$4:$L$503,0)),"")</f>
        <v/>
      </c>
      <c r="E188" s="1" t="str">
        <f>IFERROR(INDEX(Players!$F$4:$F$503,MATCH(185,Players!$L$4:$L$503,0)),"")</f>
        <v/>
      </c>
      <c r="F188" s="1" t="str">
        <f>IFERROR(INDEX(Players!$I$4:$I$503,MATCH(185,Players!$L$4:$L$503,0)),"")</f>
        <v/>
      </c>
    </row>
    <row r="189" spans="1:6">
      <c r="A189" s="1" t="str">
        <f>IFERROR(INDEX(Players!$B$4:$B$503,MATCH(186,Players!$L$4:$L$503,0)),"")</f>
        <v/>
      </c>
      <c r="B189" s="1" t="str">
        <f>IFERROR(INDEX(Players!$C$4:$C$503,MATCH(186,Players!$L$4:$L$503,0)),"")</f>
        <v/>
      </c>
      <c r="C189" s="1" t="str">
        <f>IFERROR(INDEX(Players!$D$4:$D$503,MATCH(186,Players!$L$4:$L$503,0)),"")</f>
        <v/>
      </c>
      <c r="D189" s="7" t="str">
        <f>IFERROR(INDEX(Players!$E$4:$E$503,MATCH(186,Players!$L$4:$L$503,0)),"")</f>
        <v/>
      </c>
      <c r="E189" s="1" t="str">
        <f>IFERROR(INDEX(Players!$F$4:$F$503,MATCH(186,Players!$L$4:$L$503,0)),"")</f>
        <v/>
      </c>
      <c r="F189" s="1" t="str">
        <f>IFERROR(INDEX(Players!$I$4:$I$503,MATCH(186,Players!$L$4:$L$503,0)),"")</f>
        <v/>
      </c>
    </row>
    <row r="190" spans="1:6">
      <c r="A190" s="1" t="str">
        <f>IFERROR(INDEX(Players!$B$4:$B$503,MATCH(187,Players!$L$4:$L$503,0)),"")</f>
        <v/>
      </c>
      <c r="B190" s="1" t="str">
        <f>IFERROR(INDEX(Players!$C$4:$C$503,MATCH(187,Players!$L$4:$L$503,0)),"")</f>
        <v/>
      </c>
      <c r="C190" s="1" t="str">
        <f>IFERROR(INDEX(Players!$D$4:$D$503,MATCH(187,Players!$L$4:$L$503,0)),"")</f>
        <v/>
      </c>
      <c r="D190" s="7" t="str">
        <f>IFERROR(INDEX(Players!$E$4:$E$503,MATCH(187,Players!$L$4:$L$503,0)),"")</f>
        <v/>
      </c>
      <c r="E190" s="1" t="str">
        <f>IFERROR(INDEX(Players!$F$4:$F$503,MATCH(187,Players!$L$4:$L$503,0)),"")</f>
        <v/>
      </c>
      <c r="F190" s="1" t="str">
        <f>IFERROR(INDEX(Players!$I$4:$I$503,MATCH(187,Players!$L$4:$L$503,0)),"")</f>
        <v/>
      </c>
    </row>
    <row r="191" spans="1:6">
      <c r="A191" s="1" t="str">
        <f>IFERROR(INDEX(Players!$B$4:$B$503,MATCH(188,Players!$L$4:$L$503,0)),"")</f>
        <v/>
      </c>
      <c r="B191" s="1" t="str">
        <f>IFERROR(INDEX(Players!$C$4:$C$503,MATCH(188,Players!$L$4:$L$503,0)),"")</f>
        <v/>
      </c>
      <c r="C191" s="1" t="str">
        <f>IFERROR(INDEX(Players!$D$4:$D$503,MATCH(188,Players!$L$4:$L$503,0)),"")</f>
        <v/>
      </c>
      <c r="D191" s="7" t="str">
        <f>IFERROR(INDEX(Players!$E$4:$E$503,MATCH(188,Players!$L$4:$L$503,0)),"")</f>
        <v/>
      </c>
      <c r="E191" s="1" t="str">
        <f>IFERROR(INDEX(Players!$F$4:$F$503,MATCH(188,Players!$L$4:$L$503,0)),"")</f>
        <v/>
      </c>
      <c r="F191" s="1" t="str">
        <f>IFERROR(INDEX(Players!$I$4:$I$503,MATCH(188,Players!$L$4:$L$503,0)),"")</f>
        <v/>
      </c>
    </row>
    <row r="192" spans="1:6">
      <c r="A192" s="1" t="str">
        <f>IFERROR(INDEX(Players!$B$4:$B$503,MATCH(189,Players!$L$4:$L$503,0)),"")</f>
        <v/>
      </c>
      <c r="B192" s="1" t="str">
        <f>IFERROR(INDEX(Players!$C$4:$C$503,MATCH(189,Players!$L$4:$L$503,0)),"")</f>
        <v/>
      </c>
      <c r="C192" s="1" t="str">
        <f>IFERROR(INDEX(Players!$D$4:$D$503,MATCH(189,Players!$L$4:$L$503,0)),"")</f>
        <v/>
      </c>
      <c r="D192" s="7" t="str">
        <f>IFERROR(INDEX(Players!$E$4:$E$503,MATCH(189,Players!$L$4:$L$503,0)),"")</f>
        <v/>
      </c>
      <c r="E192" s="1" t="str">
        <f>IFERROR(INDEX(Players!$F$4:$F$503,MATCH(189,Players!$L$4:$L$503,0)),"")</f>
        <v/>
      </c>
      <c r="F192" s="1" t="str">
        <f>IFERROR(INDEX(Players!$I$4:$I$503,MATCH(189,Players!$L$4:$L$503,0)),"")</f>
        <v/>
      </c>
    </row>
    <row r="193" spans="1:6">
      <c r="A193" s="1" t="str">
        <f>IFERROR(INDEX(Players!$B$4:$B$503,MATCH(190,Players!$L$4:$L$503,0)),"")</f>
        <v/>
      </c>
      <c r="B193" s="1" t="str">
        <f>IFERROR(INDEX(Players!$C$4:$C$503,MATCH(190,Players!$L$4:$L$503,0)),"")</f>
        <v/>
      </c>
      <c r="C193" s="1" t="str">
        <f>IFERROR(INDEX(Players!$D$4:$D$503,MATCH(190,Players!$L$4:$L$503,0)),"")</f>
        <v/>
      </c>
      <c r="D193" s="7" t="str">
        <f>IFERROR(INDEX(Players!$E$4:$E$503,MATCH(190,Players!$L$4:$L$503,0)),"")</f>
        <v/>
      </c>
      <c r="E193" s="1" t="str">
        <f>IFERROR(INDEX(Players!$F$4:$F$503,MATCH(190,Players!$L$4:$L$503,0)),"")</f>
        <v/>
      </c>
      <c r="F193" s="1" t="str">
        <f>IFERROR(INDEX(Players!$I$4:$I$503,MATCH(190,Players!$L$4:$L$503,0)),"")</f>
        <v/>
      </c>
    </row>
    <row r="194" spans="1:6">
      <c r="A194" s="1" t="str">
        <f>IFERROR(INDEX(Players!$B$4:$B$503,MATCH(191,Players!$L$4:$L$503,0)),"")</f>
        <v/>
      </c>
      <c r="B194" s="1" t="str">
        <f>IFERROR(INDEX(Players!$C$4:$C$503,MATCH(191,Players!$L$4:$L$503,0)),"")</f>
        <v/>
      </c>
      <c r="C194" s="1" t="str">
        <f>IFERROR(INDEX(Players!$D$4:$D$503,MATCH(191,Players!$L$4:$L$503,0)),"")</f>
        <v/>
      </c>
      <c r="D194" s="7" t="str">
        <f>IFERROR(INDEX(Players!$E$4:$E$503,MATCH(191,Players!$L$4:$L$503,0)),"")</f>
        <v/>
      </c>
      <c r="E194" s="1" t="str">
        <f>IFERROR(INDEX(Players!$F$4:$F$503,MATCH(191,Players!$L$4:$L$503,0)),"")</f>
        <v/>
      </c>
      <c r="F194" s="1" t="str">
        <f>IFERROR(INDEX(Players!$I$4:$I$503,MATCH(191,Players!$L$4:$L$503,0)),"")</f>
        <v/>
      </c>
    </row>
    <row r="195" spans="1:6">
      <c r="A195" s="1" t="str">
        <f>IFERROR(INDEX(Players!$B$4:$B$503,MATCH(192,Players!$L$4:$L$503,0)),"")</f>
        <v/>
      </c>
      <c r="B195" s="1" t="str">
        <f>IFERROR(INDEX(Players!$C$4:$C$503,MATCH(192,Players!$L$4:$L$503,0)),"")</f>
        <v/>
      </c>
      <c r="C195" s="1" t="str">
        <f>IFERROR(INDEX(Players!$D$4:$D$503,MATCH(192,Players!$L$4:$L$503,0)),"")</f>
        <v/>
      </c>
      <c r="D195" s="7" t="str">
        <f>IFERROR(INDEX(Players!$E$4:$E$503,MATCH(192,Players!$L$4:$L$503,0)),"")</f>
        <v/>
      </c>
      <c r="E195" s="1" t="str">
        <f>IFERROR(INDEX(Players!$F$4:$F$503,MATCH(192,Players!$L$4:$L$503,0)),"")</f>
        <v/>
      </c>
      <c r="F195" s="1" t="str">
        <f>IFERROR(INDEX(Players!$I$4:$I$503,MATCH(192,Players!$L$4:$L$503,0)),"")</f>
        <v/>
      </c>
    </row>
    <row r="196" spans="1:6">
      <c r="A196" s="1" t="str">
        <f>IFERROR(INDEX(Players!$B$4:$B$503,MATCH(193,Players!$L$4:$L$503,0)),"")</f>
        <v/>
      </c>
      <c r="B196" s="1" t="str">
        <f>IFERROR(INDEX(Players!$C$4:$C$503,MATCH(193,Players!$L$4:$L$503,0)),"")</f>
        <v/>
      </c>
      <c r="C196" s="1" t="str">
        <f>IFERROR(INDEX(Players!$D$4:$D$503,MATCH(193,Players!$L$4:$L$503,0)),"")</f>
        <v/>
      </c>
      <c r="D196" s="7" t="str">
        <f>IFERROR(INDEX(Players!$E$4:$E$503,MATCH(193,Players!$L$4:$L$503,0)),"")</f>
        <v/>
      </c>
      <c r="E196" s="1" t="str">
        <f>IFERROR(INDEX(Players!$F$4:$F$503,MATCH(193,Players!$L$4:$L$503,0)),"")</f>
        <v/>
      </c>
      <c r="F196" s="1" t="str">
        <f>IFERROR(INDEX(Players!$I$4:$I$503,MATCH(193,Players!$L$4:$L$503,0)),"")</f>
        <v/>
      </c>
    </row>
    <row r="197" spans="1:6">
      <c r="A197" s="1" t="str">
        <f>IFERROR(INDEX(Players!$B$4:$B$503,MATCH(194,Players!$L$4:$L$503,0)),"")</f>
        <v/>
      </c>
      <c r="B197" s="1" t="str">
        <f>IFERROR(INDEX(Players!$C$4:$C$503,MATCH(194,Players!$L$4:$L$503,0)),"")</f>
        <v/>
      </c>
      <c r="C197" s="1" t="str">
        <f>IFERROR(INDEX(Players!$D$4:$D$503,MATCH(194,Players!$L$4:$L$503,0)),"")</f>
        <v/>
      </c>
      <c r="D197" s="7" t="str">
        <f>IFERROR(INDEX(Players!$E$4:$E$503,MATCH(194,Players!$L$4:$L$503,0)),"")</f>
        <v/>
      </c>
      <c r="E197" s="1" t="str">
        <f>IFERROR(INDEX(Players!$F$4:$F$503,MATCH(194,Players!$L$4:$L$503,0)),"")</f>
        <v/>
      </c>
      <c r="F197" s="1" t="str">
        <f>IFERROR(INDEX(Players!$I$4:$I$503,MATCH(194,Players!$L$4:$L$503,0)),"")</f>
        <v/>
      </c>
    </row>
    <row r="198" spans="1:6">
      <c r="A198" s="1" t="str">
        <f>IFERROR(INDEX(Players!$B$4:$B$503,MATCH(195,Players!$L$4:$L$503,0)),"")</f>
        <v/>
      </c>
      <c r="B198" s="1" t="str">
        <f>IFERROR(INDEX(Players!$C$4:$C$503,MATCH(195,Players!$L$4:$L$503,0)),"")</f>
        <v/>
      </c>
      <c r="C198" s="1" t="str">
        <f>IFERROR(INDEX(Players!$D$4:$D$503,MATCH(195,Players!$L$4:$L$503,0)),"")</f>
        <v/>
      </c>
      <c r="D198" s="7" t="str">
        <f>IFERROR(INDEX(Players!$E$4:$E$503,MATCH(195,Players!$L$4:$L$503,0)),"")</f>
        <v/>
      </c>
      <c r="E198" s="1" t="str">
        <f>IFERROR(INDEX(Players!$F$4:$F$503,MATCH(195,Players!$L$4:$L$503,0)),"")</f>
        <v/>
      </c>
      <c r="F198" s="1" t="str">
        <f>IFERROR(INDEX(Players!$I$4:$I$503,MATCH(195,Players!$L$4:$L$503,0)),"")</f>
        <v/>
      </c>
    </row>
    <row r="199" spans="1:6">
      <c r="A199" s="1" t="str">
        <f>IFERROR(INDEX(Players!$B$4:$B$503,MATCH(196,Players!$L$4:$L$503,0)),"")</f>
        <v/>
      </c>
      <c r="B199" s="1" t="str">
        <f>IFERROR(INDEX(Players!$C$4:$C$503,MATCH(196,Players!$L$4:$L$503,0)),"")</f>
        <v/>
      </c>
      <c r="C199" s="1" t="str">
        <f>IFERROR(INDEX(Players!$D$4:$D$503,MATCH(196,Players!$L$4:$L$503,0)),"")</f>
        <v/>
      </c>
      <c r="D199" s="7" t="str">
        <f>IFERROR(INDEX(Players!$E$4:$E$503,MATCH(196,Players!$L$4:$L$503,0)),"")</f>
        <v/>
      </c>
      <c r="E199" s="1" t="str">
        <f>IFERROR(INDEX(Players!$F$4:$F$503,MATCH(196,Players!$L$4:$L$503,0)),"")</f>
        <v/>
      </c>
      <c r="F199" s="1" t="str">
        <f>IFERROR(INDEX(Players!$I$4:$I$503,MATCH(196,Players!$L$4:$L$503,0)),"")</f>
        <v/>
      </c>
    </row>
    <row r="200" spans="1:6">
      <c r="A200" s="1" t="str">
        <f>IFERROR(INDEX(Players!$B$4:$B$503,MATCH(197,Players!$L$4:$L$503,0)),"")</f>
        <v/>
      </c>
      <c r="B200" s="1" t="str">
        <f>IFERROR(INDEX(Players!$C$4:$C$503,MATCH(197,Players!$L$4:$L$503,0)),"")</f>
        <v/>
      </c>
      <c r="C200" s="1" t="str">
        <f>IFERROR(INDEX(Players!$D$4:$D$503,MATCH(197,Players!$L$4:$L$503,0)),"")</f>
        <v/>
      </c>
      <c r="D200" s="7" t="str">
        <f>IFERROR(INDEX(Players!$E$4:$E$503,MATCH(197,Players!$L$4:$L$503,0)),"")</f>
        <v/>
      </c>
      <c r="E200" s="1" t="str">
        <f>IFERROR(INDEX(Players!$F$4:$F$503,MATCH(197,Players!$L$4:$L$503,0)),"")</f>
        <v/>
      </c>
      <c r="F200" s="1" t="str">
        <f>IFERROR(INDEX(Players!$I$4:$I$503,MATCH(197,Players!$L$4:$L$503,0)),"")</f>
        <v/>
      </c>
    </row>
    <row r="201" spans="1:6">
      <c r="A201" s="1" t="str">
        <f>IFERROR(INDEX(Players!$B$4:$B$503,MATCH(198,Players!$L$4:$L$503,0)),"")</f>
        <v/>
      </c>
      <c r="B201" s="1" t="str">
        <f>IFERROR(INDEX(Players!$C$4:$C$503,MATCH(198,Players!$L$4:$L$503,0)),"")</f>
        <v/>
      </c>
      <c r="C201" s="1" t="str">
        <f>IFERROR(INDEX(Players!$D$4:$D$503,MATCH(198,Players!$L$4:$L$503,0)),"")</f>
        <v/>
      </c>
      <c r="D201" s="7" t="str">
        <f>IFERROR(INDEX(Players!$E$4:$E$503,MATCH(198,Players!$L$4:$L$503,0)),"")</f>
        <v/>
      </c>
      <c r="E201" s="1" t="str">
        <f>IFERROR(INDEX(Players!$F$4:$F$503,MATCH(198,Players!$L$4:$L$503,0)),"")</f>
        <v/>
      </c>
      <c r="F201" s="1" t="str">
        <f>IFERROR(INDEX(Players!$I$4:$I$503,MATCH(198,Players!$L$4:$L$503,0)),"")</f>
        <v/>
      </c>
    </row>
    <row r="202" spans="1:6">
      <c r="A202" s="1" t="str">
        <f>IFERROR(INDEX(Players!$B$4:$B$503,MATCH(199,Players!$L$4:$L$503,0)),"")</f>
        <v/>
      </c>
      <c r="B202" s="1" t="str">
        <f>IFERROR(INDEX(Players!$C$4:$C$503,MATCH(199,Players!$L$4:$L$503,0)),"")</f>
        <v/>
      </c>
      <c r="C202" s="1" t="str">
        <f>IFERROR(INDEX(Players!$D$4:$D$503,MATCH(199,Players!$L$4:$L$503,0)),"")</f>
        <v/>
      </c>
      <c r="D202" s="7" t="str">
        <f>IFERROR(INDEX(Players!$E$4:$E$503,MATCH(199,Players!$L$4:$L$503,0)),"")</f>
        <v/>
      </c>
      <c r="E202" s="1" t="str">
        <f>IFERROR(INDEX(Players!$F$4:$F$503,MATCH(199,Players!$L$4:$L$503,0)),"")</f>
        <v/>
      </c>
      <c r="F202" s="1" t="str">
        <f>IFERROR(INDEX(Players!$I$4:$I$503,MATCH(199,Players!$L$4:$L$503,0)),"")</f>
        <v/>
      </c>
    </row>
    <row r="203" spans="1:6">
      <c r="A203" s="1" t="str">
        <f>IFERROR(INDEX(Players!$B$4:$B$503,MATCH(200,Players!$L$4:$L$503,0)),"")</f>
        <v/>
      </c>
      <c r="B203" s="1" t="str">
        <f>IFERROR(INDEX(Players!$C$4:$C$503,MATCH(200,Players!$L$4:$L$503,0)),"")</f>
        <v/>
      </c>
      <c r="C203" s="1" t="str">
        <f>IFERROR(INDEX(Players!$D$4:$D$503,MATCH(200,Players!$L$4:$L$503,0)),"")</f>
        <v/>
      </c>
      <c r="D203" s="7" t="str">
        <f>IFERROR(INDEX(Players!$E$4:$E$503,MATCH(200,Players!$L$4:$L$503,0)),"")</f>
        <v/>
      </c>
      <c r="E203" s="1" t="str">
        <f>IFERROR(INDEX(Players!$F$4:$F$503,MATCH(200,Players!$L$4:$L$503,0)),"")</f>
        <v/>
      </c>
      <c r="F203" s="1" t="str">
        <f>IFERROR(INDEX(Players!$I$4:$I$503,MATCH(200,Players!$L$4:$L$503,0)),"")</f>
        <v/>
      </c>
    </row>
    <row r="204" spans="1:6">
      <c r="A204" s="1" t="str">
        <f>IFERROR(INDEX(Players!$B$4:$B$503,MATCH(201,Players!$L$4:$L$503,0)),"")</f>
        <v/>
      </c>
      <c r="B204" s="1" t="str">
        <f>IFERROR(INDEX(Players!$C$4:$C$503,MATCH(201,Players!$L$4:$L$503,0)),"")</f>
        <v/>
      </c>
      <c r="C204" s="1" t="str">
        <f>IFERROR(INDEX(Players!$D$4:$D$503,MATCH(201,Players!$L$4:$L$503,0)),"")</f>
        <v/>
      </c>
      <c r="D204" s="7" t="str">
        <f>IFERROR(INDEX(Players!$E$4:$E$503,MATCH(201,Players!$L$4:$L$503,0)),"")</f>
        <v/>
      </c>
      <c r="E204" s="1" t="str">
        <f>IFERROR(INDEX(Players!$F$4:$F$503,MATCH(201,Players!$L$4:$L$503,0)),"")</f>
        <v/>
      </c>
      <c r="F204" s="1" t="str">
        <f>IFERROR(INDEX(Players!$I$4:$I$503,MATCH(201,Players!$L$4:$L$503,0)),"")</f>
        <v/>
      </c>
    </row>
    <row r="205" spans="1:6">
      <c r="A205" s="1" t="str">
        <f>IFERROR(INDEX(Players!$B$4:$B$503,MATCH(202,Players!$L$4:$L$503,0)),"")</f>
        <v/>
      </c>
      <c r="B205" s="1" t="str">
        <f>IFERROR(INDEX(Players!$C$4:$C$503,MATCH(202,Players!$L$4:$L$503,0)),"")</f>
        <v/>
      </c>
      <c r="C205" s="1" t="str">
        <f>IFERROR(INDEX(Players!$D$4:$D$503,MATCH(202,Players!$L$4:$L$503,0)),"")</f>
        <v/>
      </c>
      <c r="D205" s="7" t="str">
        <f>IFERROR(INDEX(Players!$E$4:$E$503,MATCH(202,Players!$L$4:$L$503,0)),"")</f>
        <v/>
      </c>
      <c r="E205" s="1" t="str">
        <f>IFERROR(INDEX(Players!$F$4:$F$503,MATCH(202,Players!$L$4:$L$503,0)),"")</f>
        <v/>
      </c>
      <c r="F205" s="1" t="str">
        <f>IFERROR(INDEX(Players!$I$4:$I$503,MATCH(202,Players!$L$4:$L$503,0)),"")</f>
        <v/>
      </c>
    </row>
    <row r="206" spans="1:6">
      <c r="A206" s="1" t="str">
        <f>IFERROR(INDEX(Players!$B$4:$B$503,MATCH(203,Players!$L$4:$L$503,0)),"")</f>
        <v/>
      </c>
      <c r="B206" s="1" t="str">
        <f>IFERROR(INDEX(Players!$C$4:$C$503,MATCH(203,Players!$L$4:$L$503,0)),"")</f>
        <v/>
      </c>
      <c r="C206" s="1" t="str">
        <f>IFERROR(INDEX(Players!$D$4:$D$503,MATCH(203,Players!$L$4:$L$503,0)),"")</f>
        <v/>
      </c>
      <c r="D206" s="7" t="str">
        <f>IFERROR(INDEX(Players!$E$4:$E$503,MATCH(203,Players!$L$4:$L$503,0)),"")</f>
        <v/>
      </c>
      <c r="E206" s="1" t="str">
        <f>IFERROR(INDEX(Players!$F$4:$F$503,MATCH(203,Players!$L$4:$L$503,0)),"")</f>
        <v/>
      </c>
      <c r="F206" s="1" t="str">
        <f>IFERROR(INDEX(Players!$I$4:$I$503,MATCH(203,Players!$L$4:$L$503,0)),"")</f>
        <v/>
      </c>
    </row>
    <row r="207" spans="1:6">
      <c r="A207" s="1" t="str">
        <f>IFERROR(INDEX(Players!$B$4:$B$503,MATCH(204,Players!$L$4:$L$503,0)),"")</f>
        <v/>
      </c>
      <c r="B207" s="1" t="str">
        <f>IFERROR(INDEX(Players!$C$4:$C$503,MATCH(204,Players!$L$4:$L$503,0)),"")</f>
        <v/>
      </c>
      <c r="C207" s="1" t="str">
        <f>IFERROR(INDEX(Players!$D$4:$D$503,MATCH(204,Players!$L$4:$L$503,0)),"")</f>
        <v/>
      </c>
      <c r="D207" s="7" t="str">
        <f>IFERROR(INDEX(Players!$E$4:$E$503,MATCH(204,Players!$L$4:$L$503,0)),"")</f>
        <v/>
      </c>
      <c r="E207" s="1" t="str">
        <f>IFERROR(INDEX(Players!$F$4:$F$503,MATCH(204,Players!$L$4:$L$503,0)),"")</f>
        <v/>
      </c>
      <c r="F207" s="1" t="str">
        <f>IFERROR(INDEX(Players!$I$4:$I$503,MATCH(204,Players!$L$4:$L$503,0)),"")</f>
        <v/>
      </c>
    </row>
    <row r="208" spans="1:6">
      <c r="A208" s="1" t="str">
        <f>IFERROR(INDEX(Players!$B$4:$B$503,MATCH(205,Players!$L$4:$L$503,0)),"")</f>
        <v/>
      </c>
      <c r="B208" s="1" t="str">
        <f>IFERROR(INDEX(Players!$C$4:$C$503,MATCH(205,Players!$L$4:$L$503,0)),"")</f>
        <v/>
      </c>
      <c r="C208" s="1" t="str">
        <f>IFERROR(INDEX(Players!$D$4:$D$503,MATCH(205,Players!$L$4:$L$503,0)),"")</f>
        <v/>
      </c>
      <c r="D208" s="7" t="str">
        <f>IFERROR(INDEX(Players!$E$4:$E$503,MATCH(205,Players!$L$4:$L$503,0)),"")</f>
        <v/>
      </c>
      <c r="E208" s="1" t="str">
        <f>IFERROR(INDEX(Players!$F$4:$F$503,MATCH(205,Players!$L$4:$L$503,0)),"")</f>
        <v/>
      </c>
      <c r="F208" s="1" t="str">
        <f>IFERROR(INDEX(Players!$I$4:$I$503,MATCH(205,Players!$L$4:$L$503,0)),"")</f>
        <v/>
      </c>
    </row>
    <row r="209" spans="1:6">
      <c r="A209" s="1" t="str">
        <f>IFERROR(INDEX(Players!$B$4:$B$503,MATCH(206,Players!$L$4:$L$503,0)),"")</f>
        <v/>
      </c>
      <c r="B209" s="1" t="str">
        <f>IFERROR(INDEX(Players!$C$4:$C$503,MATCH(206,Players!$L$4:$L$503,0)),"")</f>
        <v/>
      </c>
      <c r="C209" s="1" t="str">
        <f>IFERROR(INDEX(Players!$D$4:$D$503,MATCH(206,Players!$L$4:$L$503,0)),"")</f>
        <v/>
      </c>
      <c r="D209" s="7" t="str">
        <f>IFERROR(INDEX(Players!$E$4:$E$503,MATCH(206,Players!$L$4:$L$503,0)),"")</f>
        <v/>
      </c>
      <c r="E209" s="1" t="str">
        <f>IFERROR(INDEX(Players!$F$4:$F$503,MATCH(206,Players!$L$4:$L$503,0)),"")</f>
        <v/>
      </c>
      <c r="F209" s="1" t="str">
        <f>IFERROR(INDEX(Players!$I$4:$I$503,MATCH(206,Players!$L$4:$L$503,0)),"")</f>
        <v/>
      </c>
    </row>
    <row r="210" spans="1:6">
      <c r="A210" s="1" t="str">
        <f>IFERROR(INDEX(Players!$B$4:$B$503,MATCH(207,Players!$L$4:$L$503,0)),"")</f>
        <v/>
      </c>
      <c r="B210" s="1" t="str">
        <f>IFERROR(INDEX(Players!$C$4:$C$503,MATCH(207,Players!$L$4:$L$503,0)),"")</f>
        <v/>
      </c>
      <c r="C210" s="1" t="str">
        <f>IFERROR(INDEX(Players!$D$4:$D$503,MATCH(207,Players!$L$4:$L$503,0)),"")</f>
        <v/>
      </c>
      <c r="D210" s="7" t="str">
        <f>IFERROR(INDEX(Players!$E$4:$E$503,MATCH(207,Players!$L$4:$L$503,0)),"")</f>
        <v/>
      </c>
      <c r="E210" s="1" t="str">
        <f>IFERROR(INDEX(Players!$F$4:$F$503,MATCH(207,Players!$L$4:$L$503,0)),"")</f>
        <v/>
      </c>
      <c r="F210" s="1" t="str">
        <f>IFERROR(INDEX(Players!$I$4:$I$503,MATCH(207,Players!$L$4:$L$503,0)),"")</f>
        <v/>
      </c>
    </row>
    <row r="211" spans="1:6">
      <c r="A211" s="1" t="str">
        <f>IFERROR(INDEX(Players!$B$4:$B$503,MATCH(208,Players!$L$4:$L$503,0)),"")</f>
        <v/>
      </c>
      <c r="B211" s="1" t="str">
        <f>IFERROR(INDEX(Players!$C$4:$C$503,MATCH(208,Players!$L$4:$L$503,0)),"")</f>
        <v/>
      </c>
      <c r="C211" s="1" t="str">
        <f>IFERROR(INDEX(Players!$D$4:$D$503,MATCH(208,Players!$L$4:$L$503,0)),"")</f>
        <v/>
      </c>
      <c r="D211" s="7" t="str">
        <f>IFERROR(INDEX(Players!$E$4:$E$503,MATCH(208,Players!$L$4:$L$503,0)),"")</f>
        <v/>
      </c>
      <c r="E211" s="1" t="str">
        <f>IFERROR(INDEX(Players!$F$4:$F$503,MATCH(208,Players!$L$4:$L$503,0)),"")</f>
        <v/>
      </c>
      <c r="F211" s="1" t="str">
        <f>IFERROR(INDEX(Players!$I$4:$I$503,MATCH(208,Players!$L$4:$L$503,0)),"")</f>
        <v/>
      </c>
    </row>
    <row r="212" spans="1:6">
      <c r="A212" s="1" t="str">
        <f>IFERROR(INDEX(Players!$B$4:$B$503,MATCH(209,Players!$L$4:$L$503,0)),"")</f>
        <v/>
      </c>
      <c r="B212" s="1" t="str">
        <f>IFERROR(INDEX(Players!$C$4:$C$503,MATCH(209,Players!$L$4:$L$503,0)),"")</f>
        <v/>
      </c>
      <c r="C212" s="1" t="str">
        <f>IFERROR(INDEX(Players!$D$4:$D$503,MATCH(209,Players!$L$4:$L$503,0)),"")</f>
        <v/>
      </c>
      <c r="D212" s="7" t="str">
        <f>IFERROR(INDEX(Players!$E$4:$E$503,MATCH(209,Players!$L$4:$L$503,0)),"")</f>
        <v/>
      </c>
      <c r="E212" s="1" t="str">
        <f>IFERROR(INDEX(Players!$F$4:$F$503,MATCH(209,Players!$L$4:$L$503,0)),"")</f>
        <v/>
      </c>
      <c r="F212" s="1" t="str">
        <f>IFERROR(INDEX(Players!$I$4:$I$503,MATCH(209,Players!$L$4:$L$503,0)),"")</f>
        <v/>
      </c>
    </row>
    <row r="213" spans="1:6">
      <c r="A213" s="1" t="str">
        <f>IFERROR(INDEX(Players!$B$4:$B$503,MATCH(210,Players!$L$4:$L$503,0)),"")</f>
        <v/>
      </c>
      <c r="B213" s="1" t="str">
        <f>IFERROR(INDEX(Players!$C$4:$C$503,MATCH(210,Players!$L$4:$L$503,0)),"")</f>
        <v/>
      </c>
      <c r="C213" s="1" t="str">
        <f>IFERROR(INDEX(Players!$D$4:$D$503,MATCH(210,Players!$L$4:$L$503,0)),"")</f>
        <v/>
      </c>
      <c r="D213" s="7" t="str">
        <f>IFERROR(INDEX(Players!$E$4:$E$503,MATCH(210,Players!$L$4:$L$503,0)),"")</f>
        <v/>
      </c>
      <c r="E213" s="1" t="str">
        <f>IFERROR(INDEX(Players!$F$4:$F$503,MATCH(210,Players!$L$4:$L$503,0)),"")</f>
        <v/>
      </c>
      <c r="F213" s="1" t="str">
        <f>IFERROR(INDEX(Players!$I$4:$I$503,MATCH(210,Players!$L$4:$L$503,0)),"")</f>
        <v/>
      </c>
    </row>
    <row r="214" spans="1:6">
      <c r="A214" s="1" t="str">
        <f>IFERROR(INDEX(Players!$B$4:$B$503,MATCH(211,Players!$L$4:$L$503,0)),"")</f>
        <v/>
      </c>
      <c r="B214" s="1" t="str">
        <f>IFERROR(INDEX(Players!$C$4:$C$503,MATCH(211,Players!$L$4:$L$503,0)),"")</f>
        <v/>
      </c>
      <c r="C214" s="1" t="str">
        <f>IFERROR(INDEX(Players!$D$4:$D$503,MATCH(211,Players!$L$4:$L$503,0)),"")</f>
        <v/>
      </c>
      <c r="D214" s="7" t="str">
        <f>IFERROR(INDEX(Players!$E$4:$E$503,MATCH(211,Players!$L$4:$L$503,0)),"")</f>
        <v/>
      </c>
      <c r="E214" s="1" t="str">
        <f>IFERROR(INDEX(Players!$F$4:$F$503,MATCH(211,Players!$L$4:$L$503,0)),"")</f>
        <v/>
      </c>
      <c r="F214" s="1" t="str">
        <f>IFERROR(INDEX(Players!$I$4:$I$503,MATCH(211,Players!$L$4:$L$503,0)),"")</f>
        <v/>
      </c>
    </row>
    <row r="215" spans="1:6">
      <c r="A215" s="1" t="str">
        <f>IFERROR(INDEX(Players!$B$4:$B$503,MATCH(212,Players!$L$4:$L$503,0)),"")</f>
        <v/>
      </c>
      <c r="B215" s="1" t="str">
        <f>IFERROR(INDEX(Players!$C$4:$C$503,MATCH(212,Players!$L$4:$L$503,0)),"")</f>
        <v/>
      </c>
      <c r="C215" s="1" t="str">
        <f>IFERROR(INDEX(Players!$D$4:$D$503,MATCH(212,Players!$L$4:$L$503,0)),"")</f>
        <v/>
      </c>
      <c r="D215" s="7" t="str">
        <f>IFERROR(INDEX(Players!$E$4:$E$503,MATCH(212,Players!$L$4:$L$503,0)),"")</f>
        <v/>
      </c>
      <c r="E215" s="1" t="str">
        <f>IFERROR(INDEX(Players!$F$4:$F$503,MATCH(212,Players!$L$4:$L$503,0)),"")</f>
        <v/>
      </c>
      <c r="F215" s="1" t="str">
        <f>IFERROR(INDEX(Players!$I$4:$I$503,MATCH(212,Players!$L$4:$L$503,0)),"")</f>
        <v/>
      </c>
    </row>
    <row r="216" spans="1:6">
      <c r="A216" s="1" t="str">
        <f>IFERROR(INDEX(Players!$B$4:$B$503,MATCH(213,Players!$L$4:$L$503,0)),"")</f>
        <v/>
      </c>
      <c r="B216" s="1" t="str">
        <f>IFERROR(INDEX(Players!$C$4:$C$503,MATCH(213,Players!$L$4:$L$503,0)),"")</f>
        <v/>
      </c>
      <c r="C216" s="1" t="str">
        <f>IFERROR(INDEX(Players!$D$4:$D$503,MATCH(213,Players!$L$4:$L$503,0)),"")</f>
        <v/>
      </c>
      <c r="D216" s="7" t="str">
        <f>IFERROR(INDEX(Players!$E$4:$E$503,MATCH(213,Players!$L$4:$L$503,0)),"")</f>
        <v/>
      </c>
      <c r="E216" s="1" t="str">
        <f>IFERROR(INDEX(Players!$F$4:$F$503,MATCH(213,Players!$L$4:$L$503,0)),"")</f>
        <v/>
      </c>
      <c r="F216" s="1" t="str">
        <f>IFERROR(INDEX(Players!$I$4:$I$503,MATCH(213,Players!$L$4:$L$503,0)),"")</f>
        <v/>
      </c>
    </row>
    <row r="217" spans="1:6">
      <c r="A217" s="1" t="str">
        <f>IFERROR(INDEX(Players!$B$4:$B$503,MATCH(214,Players!$L$4:$L$503,0)),"")</f>
        <v/>
      </c>
      <c r="B217" s="1" t="str">
        <f>IFERROR(INDEX(Players!$C$4:$C$503,MATCH(214,Players!$L$4:$L$503,0)),"")</f>
        <v/>
      </c>
      <c r="C217" s="1" t="str">
        <f>IFERROR(INDEX(Players!$D$4:$D$503,MATCH(214,Players!$L$4:$L$503,0)),"")</f>
        <v/>
      </c>
      <c r="D217" s="7" t="str">
        <f>IFERROR(INDEX(Players!$E$4:$E$503,MATCH(214,Players!$L$4:$L$503,0)),"")</f>
        <v/>
      </c>
      <c r="E217" s="1" t="str">
        <f>IFERROR(INDEX(Players!$F$4:$F$503,MATCH(214,Players!$L$4:$L$503,0)),"")</f>
        <v/>
      </c>
      <c r="F217" s="1" t="str">
        <f>IFERROR(INDEX(Players!$I$4:$I$503,MATCH(214,Players!$L$4:$L$503,0)),"")</f>
        <v/>
      </c>
    </row>
    <row r="218" spans="1:6">
      <c r="A218" s="1" t="str">
        <f>IFERROR(INDEX(Players!$B$4:$B$503,MATCH(215,Players!$L$4:$L$503,0)),"")</f>
        <v/>
      </c>
      <c r="B218" s="1" t="str">
        <f>IFERROR(INDEX(Players!$C$4:$C$503,MATCH(215,Players!$L$4:$L$503,0)),"")</f>
        <v/>
      </c>
      <c r="C218" s="1" t="str">
        <f>IFERROR(INDEX(Players!$D$4:$D$503,MATCH(215,Players!$L$4:$L$503,0)),"")</f>
        <v/>
      </c>
      <c r="D218" s="7" t="str">
        <f>IFERROR(INDEX(Players!$E$4:$E$503,MATCH(215,Players!$L$4:$L$503,0)),"")</f>
        <v/>
      </c>
      <c r="E218" s="1" t="str">
        <f>IFERROR(INDEX(Players!$F$4:$F$503,MATCH(215,Players!$L$4:$L$503,0)),"")</f>
        <v/>
      </c>
      <c r="F218" s="1" t="str">
        <f>IFERROR(INDEX(Players!$I$4:$I$503,MATCH(215,Players!$L$4:$L$503,0)),"")</f>
        <v/>
      </c>
    </row>
    <row r="219" spans="1:6">
      <c r="A219" s="1" t="str">
        <f>IFERROR(INDEX(Players!$B$4:$B$503,MATCH(216,Players!$L$4:$L$503,0)),"")</f>
        <v/>
      </c>
      <c r="B219" s="1" t="str">
        <f>IFERROR(INDEX(Players!$C$4:$C$503,MATCH(216,Players!$L$4:$L$503,0)),"")</f>
        <v/>
      </c>
      <c r="C219" s="1" t="str">
        <f>IFERROR(INDEX(Players!$D$4:$D$503,MATCH(216,Players!$L$4:$L$503,0)),"")</f>
        <v/>
      </c>
      <c r="D219" s="7" t="str">
        <f>IFERROR(INDEX(Players!$E$4:$E$503,MATCH(216,Players!$L$4:$L$503,0)),"")</f>
        <v/>
      </c>
      <c r="E219" s="1" t="str">
        <f>IFERROR(INDEX(Players!$F$4:$F$503,MATCH(216,Players!$L$4:$L$503,0)),"")</f>
        <v/>
      </c>
      <c r="F219" s="1" t="str">
        <f>IFERROR(INDEX(Players!$I$4:$I$503,MATCH(216,Players!$L$4:$L$503,0)),"")</f>
        <v/>
      </c>
    </row>
    <row r="220" spans="1:6">
      <c r="A220" s="1" t="str">
        <f>IFERROR(INDEX(Players!$B$4:$B$503,MATCH(217,Players!$L$4:$L$503,0)),"")</f>
        <v/>
      </c>
      <c r="B220" s="1" t="str">
        <f>IFERROR(INDEX(Players!$C$4:$C$503,MATCH(217,Players!$L$4:$L$503,0)),"")</f>
        <v/>
      </c>
      <c r="C220" s="1" t="str">
        <f>IFERROR(INDEX(Players!$D$4:$D$503,MATCH(217,Players!$L$4:$L$503,0)),"")</f>
        <v/>
      </c>
      <c r="D220" s="7" t="str">
        <f>IFERROR(INDEX(Players!$E$4:$E$503,MATCH(217,Players!$L$4:$L$503,0)),"")</f>
        <v/>
      </c>
      <c r="E220" s="1" t="str">
        <f>IFERROR(INDEX(Players!$F$4:$F$503,MATCH(217,Players!$L$4:$L$503,0)),"")</f>
        <v/>
      </c>
      <c r="F220" s="1" t="str">
        <f>IFERROR(INDEX(Players!$I$4:$I$503,MATCH(217,Players!$L$4:$L$503,0)),"")</f>
        <v/>
      </c>
    </row>
    <row r="221" spans="1:6">
      <c r="A221" s="1" t="str">
        <f>IFERROR(INDEX(Players!$B$4:$B$503,MATCH(218,Players!$L$4:$L$503,0)),"")</f>
        <v/>
      </c>
      <c r="B221" s="1" t="str">
        <f>IFERROR(INDEX(Players!$C$4:$C$503,MATCH(218,Players!$L$4:$L$503,0)),"")</f>
        <v/>
      </c>
      <c r="C221" s="1" t="str">
        <f>IFERROR(INDEX(Players!$D$4:$D$503,MATCH(218,Players!$L$4:$L$503,0)),"")</f>
        <v/>
      </c>
      <c r="D221" s="7" t="str">
        <f>IFERROR(INDEX(Players!$E$4:$E$503,MATCH(218,Players!$L$4:$L$503,0)),"")</f>
        <v/>
      </c>
      <c r="E221" s="1" t="str">
        <f>IFERROR(INDEX(Players!$F$4:$F$503,MATCH(218,Players!$L$4:$L$503,0)),"")</f>
        <v/>
      </c>
      <c r="F221" s="1" t="str">
        <f>IFERROR(INDEX(Players!$I$4:$I$503,MATCH(218,Players!$L$4:$L$503,0)),"")</f>
        <v/>
      </c>
    </row>
    <row r="222" spans="1:6">
      <c r="A222" s="1" t="str">
        <f>IFERROR(INDEX(Players!$B$4:$B$503,MATCH(219,Players!$L$4:$L$503,0)),"")</f>
        <v/>
      </c>
      <c r="B222" s="1" t="str">
        <f>IFERROR(INDEX(Players!$C$4:$C$503,MATCH(219,Players!$L$4:$L$503,0)),"")</f>
        <v/>
      </c>
      <c r="C222" s="1" t="str">
        <f>IFERROR(INDEX(Players!$D$4:$D$503,MATCH(219,Players!$L$4:$L$503,0)),"")</f>
        <v/>
      </c>
      <c r="D222" s="7" t="str">
        <f>IFERROR(INDEX(Players!$E$4:$E$503,MATCH(219,Players!$L$4:$L$503,0)),"")</f>
        <v/>
      </c>
      <c r="E222" s="1" t="str">
        <f>IFERROR(INDEX(Players!$F$4:$F$503,MATCH(219,Players!$L$4:$L$503,0)),"")</f>
        <v/>
      </c>
      <c r="F222" s="1" t="str">
        <f>IFERROR(INDEX(Players!$I$4:$I$503,MATCH(219,Players!$L$4:$L$503,0)),"")</f>
        <v/>
      </c>
    </row>
    <row r="223" spans="1:6">
      <c r="A223" s="1" t="str">
        <f>IFERROR(INDEX(Players!$B$4:$B$503,MATCH(220,Players!$L$4:$L$503,0)),"")</f>
        <v/>
      </c>
      <c r="B223" s="1" t="str">
        <f>IFERROR(INDEX(Players!$C$4:$C$503,MATCH(220,Players!$L$4:$L$503,0)),"")</f>
        <v/>
      </c>
      <c r="C223" s="1" t="str">
        <f>IFERROR(INDEX(Players!$D$4:$D$503,MATCH(220,Players!$L$4:$L$503,0)),"")</f>
        <v/>
      </c>
      <c r="D223" s="7" t="str">
        <f>IFERROR(INDEX(Players!$E$4:$E$503,MATCH(220,Players!$L$4:$L$503,0)),"")</f>
        <v/>
      </c>
      <c r="E223" s="1" t="str">
        <f>IFERROR(INDEX(Players!$F$4:$F$503,MATCH(220,Players!$L$4:$L$503,0)),"")</f>
        <v/>
      </c>
      <c r="F223" s="1" t="str">
        <f>IFERROR(INDEX(Players!$I$4:$I$503,MATCH(220,Players!$L$4:$L$503,0)),"")</f>
        <v/>
      </c>
    </row>
    <row r="224" spans="1:6">
      <c r="A224" s="1" t="str">
        <f>IFERROR(INDEX(Players!$B$4:$B$503,MATCH(221,Players!$L$4:$L$503,0)),"")</f>
        <v/>
      </c>
      <c r="B224" s="1" t="str">
        <f>IFERROR(INDEX(Players!$C$4:$C$503,MATCH(221,Players!$L$4:$L$503,0)),"")</f>
        <v/>
      </c>
      <c r="C224" s="1" t="str">
        <f>IFERROR(INDEX(Players!$D$4:$D$503,MATCH(221,Players!$L$4:$L$503,0)),"")</f>
        <v/>
      </c>
      <c r="D224" s="7" t="str">
        <f>IFERROR(INDEX(Players!$E$4:$E$503,MATCH(221,Players!$L$4:$L$503,0)),"")</f>
        <v/>
      </c>
      <c r="E224" s="1" t="str">
        <f>IFERROR(INDEX(Players!$F$4:$F$503,MATCH(221,Players!$L$4:$L$503,0)),"")</f>
        <v/>
      </c>
      <c r="F224" s="1" t="str">
        <f>IFERROR(INDEX(Players!$I$4:$I$503,MATCH(221,Players!$L$4:$L$503,0)),"")</f>
        <v/>
      </c>
    </row>
    <row r="225" spans="1:6">
      <c r="A225" s="1" t="str">
        <f>IFERROR(INDEX(Players!$B$4:$B$503,MATCH(222,Players!$L$4:$L$503,0)),"")</f>
        <v/>
      </c>
      <c r="B225" s="1" t="str">
        <f>IFERROR(INDEX(Players!$C$4:$C$503,MATCH(222,Players!$L$4:$L$503,0)),"")</f>
        <v/>
      </c>
      <c r="C225" s="1" t="str">
        <f>IFERROR(INDEX(Players!$D$4:$D$503,MATCH(222,Players!$L$4:$L$503,0)),"")</f>
        <v/>
      </c>
      <c r="D225" s="7" t="str">
        <f>IFERROR(INDEX(Players!$E$4:$E$503,MATCH(222,Players!$L$4:$L$503,0)),"")</f>
        <v/>
      </c>
      <c r="E225" s="1" t="str">
        <f>IFERROR(INDEX(Players!$F$4:$F$503,MATCH(222,Players!$L$4:$L$503,0)),"")</f>
        <v/>
      </c>
      <c r="F225" s="1" t="str">
        <f>IFERROR(INDEX(Players!$I$4:$I$503,MATCH(222,Players!$L$4:$L$503,0)),"")</f>
        <v/>
      </c>
    </row>
    <row r="226" spans="1:6">
      <c r="A226" s="1" t="str">
        <f>IFERROR(INDEX(Players!$B$4:$B$503,MATCH(223,Players!$L$4:$L$503,0)),"")</f>
        <v/>
      </c>
      <c r="B226" s="1" t="str">
        <f>IFERROR(INDEX(Players!$C$4:$C$503,MATCH(223,Players!$L$4:$L$503,0)),"")</f>
        <v/>
      </c>
      <c r="C226" s="1" t="str">
        <f>IFERROR(INDEX(Players!$D$4:$D$503,MATCH(223,Players!$L$4:$L$503,0)),"")</f>
        <v/>
      </c>
      <c r="D226" s="7" t="str">
        <f>IFERROR(INDEX(Players!$E$4:$E$503,MATCH(223,Players!$L$4:$L$503,0)),"")</f>
        <v/>
      </c>
      <c r="E226" s="1" t="str">
        <f>IFERROR(INDEX(Players!$F$4:$F$503,MATCH(223,Players!$L$4:$L$503,0)),"")</f>
        <v/>
      </c>
      <c r="F226" s="1" t="str">
        <f>IFERROR(INDEX(Players!$I$4:$I$503,MATCH(223,Players!$L$4:$L$503,0)),"")</f>
        <v/>
      </c>
    </row>
    <row r="227" spans="1:6">
      <c r="A227" s="1" t="str">
        <f>IFERROR(INDEX(Players!$B$4:$B$503,MATCH(224,Players!$L$4:$L$503,0)),"")</f>
        <v/>
      </c>
      <c r="B227" s="1" t="str">
        <f>IFERROR(INDEX(Players!$C$4:$C$503,MATCH(224,Players!$L$4:$L$503,0)),"")</f>
        <v/>
      </c>
      <c r="C227" s="1" t="str">
        <f>IFERROR(INDEX(Players!$D$4:$D$503,MATCH(224,Players!$L$4:$L$503,0)),"")</f>
        <v/>
      </c>
      <c r="D227" s="7" t="str">
        <f>IFERROR(INDEX(Players!$E$4:$E$503,MATCH(224,Players!$L$4:$L$503,0)),"")</f>
        <v/>
      </c>
      <c r="E227" s="1" t="str">
        <f>IFERROR(INDEX(Players!$F$4:$F$503,MATCH(224,Players!$L$4:$L$503,0)),"")</f>
        <v/>
      </c>
      <c r="F227" s="1" t="str">
        <f>IFERROR(INDEX(Players!$I$4:$I$503,MATCH(224,Players!$L$4:$L$503,0)),"")</f>
        <v/>
      </c>
    </row>
    <row r="228" spans="1:6">
      <c r="A228" s="1" t="str">
        <f>IFERROR(INDEX(Players!$B$4:$B$503,MATCH(225,Players!$L$4:$L$503,0)),"")</f>
        <v/>
      </c>
      <c r="B228" s="1" t="str">
        <f>IFERROR(INDEX(Players!$C$4:$C$503,MATCH(225,Players!$L$4:$L$503,0)),"")</f>
        <v/>
      </c>
      <c r="C228" s="1" t="str">
        <f>IFERROR(INDEX(Players!$D$4:$D$503,MATCH(225,Players!$L$4:$L$503,0)),"")</f>
        <v/>
      </c>
      <c r="D228" s="7" t="str">
        <f>IFERROR(INDEX(Players!$E$4:$E$503,MATCH(225,Players!$L$4:$L$503,0)),"")</f>
        <v/>
      </c>
      <c r="E228" s="1" t="str">
        <f>IFERROR(INDEX(Players!$F$4:$F$503,MATCH(225,Players!$L$4:$L$503,0)),"")</f>
        <v/>
      </c>
      <c r="F228" s="1" t="str">
        <f>IFERROR(INDEX(Players!$I$4:$I$503,MATCH(225,Players!$L$4:$L$503,0)),"")</f>
        <v/>
      </c>
    </row>
    <row r="229" spans="1:6">
      <c r="A229" s="1" t="str">
        <f>IFERROR(INDEX(Players!$B$4:$B$503,MATCH(226,Players!$L$4:$L$503,0)),"")</f>
        <v/>
      </c>
      <c r="B229" s="1" t="str">
        <f>IFERROR(INDEX(Players!$C$4:$C$503,MATCH(226,Players!$L$4:$L$503,0)),"")</f>
        <v/>
      </c>
      <c r="C229" s="1" t="str">
        <f>IFERROR(INDEX(Players!$D$4:$D$503,MATCH(226,Players!$L$4:$L$503,0)),"")</f>
        <v/>
      </c>
      <c r="D229" s="7" t="str">
        <f>IFERROR(INDEX(Players!$E$4:$E$503,MATCH(226,Players!$L$4:$L$503,0)),"")</f>
        <v/>
      </c>
      <c r="E229" s="1" t="str">
        <f>IFERROR(INDEX(Players!$F$4:$F$503,MATCH(226,Players!$L$4:$L$503,0)),"")</f>
        <v/>
      </c>
      <c r="F229" s="1" t="str">
        <f>IFERROR(INDEX(Players!$I$4:$I$503,MATCH(226,Players!$L$4:$L$503,0)),"")</f>
        <v/>
      </c>
    </row>
    <row r="230" spans="1:6">
      <c r="A230" s="1" t="str">
        <f>IFERROR(INDEX(Players!$B$4:$B$503,MATCH(227,Players!$L$4:$L$503,0)),"")</f>
        <v/>
      </c>
      <c r="B230" s="1" t="str">
        <f>IFERROR(INDEX(Players!$C$4:$C$503,MATCH(227,Players!$L$4:$L$503,0)),"")</f>
        <v/>
      </c>
      <c r="C230" s="1" t="str">
        <f>IFERROR(INDEX(Players!$D$4:$D$503,MATCH(227,Players!$L$4:$L$503,0)),"")</f>
        <v/>
      </c>
      <c r="D230" s="7" t="str">
        <f>IFERROR(INDEX(Players!$E$4:$E$503,MATCH(227,Players!$L$4:$L$503,0)),"")</f>
        <v/>
      </c>
      <c r="E230" s="1" t="str">
        <f>IFERROR(INDEX(Players!$F$4:$F$503,MATCH(227,Players!$L$4:$L$503,0)),"")</f>
        <v/>
      </c>
      <c r="F230" s="1" t="str">
        <f>IFERROR(INDEX(Players!$I$4:$I$503,MATCH(227,Players!$L$4:$L$503,0)),"")</f>
        <v/>
      </c>
    </row>
    <row r="231" spans="1:6">
      <c r="A231" s="1" t="str">
        <f>IFERROR(INDEX(Players!$B$4:$B$503,MATCH(228,Players!$L$4:$L$503,0)),"")</f>
        <v/>
      </c>
      <c r="B231" s="1" t="str">
        <f>IFERROR(INDEX(Players!$C$4:$C$503,MATCH(228,Players!$L$4:$L$503,0)),"")</f>
        <v/>
      </c>
      <c r="C231" s="1" t="str">
        <f>IFERROR(INDEX(Players!$D$4:$D$503,MATCH(228,Players!$L$4:$L$503,0)),"")</f>
        <v/>
      </c>
      <c r="D231" s="7" t="str">
        <f>IFERROR(INDEX(Players!$E$4:$E$503,MATCH(228,Players!$L$4:$L$503,0)),"")</f>
        <v/>
      </c>
      <c r="E231" s="1" t="str">
        <f>IFERROR(INDEX(Players!$F$4:$F$503,MATCH(228,Players!$L$4:$L$503,0)),"")</f>
        <v/>
      </c>
      <c r="F231" s="1" t="str">
        <f>IFERROR(INDEX(Players!$I$4:$I$503,MATCH(228,Players!$L$4:$L$503,0)),"")</f>
        <v/>
      </c>
    </row>
    <row r="232" spans="1:6">
      <c r="A232" s="1" t="str">
        <f>IFERROR(INDEX(Players!$B$4:$B$503,MATCH(229,Players!$L$4:$L$503,0)),"")</f>
        <v/>
      </c>
      <c r="B232" s="1" t="str">
        <f>IFERROR(INDEX(Players!$C$4:$C$503,MATCH(229,Players!$L$4:$L$503,0)),"")</f>
        <v/>
      </c>
      <c r="C232" s="1" t="str">
        <f>IFERROR(INDEX(Players!$D$4:$D$503,MATCH(229,Players!$L$4:$L$503,0)),"")</f>
        <v/>
      </c>
      <c r="D232" s="7" t="str">
        <f>IFERROR(INDEX(Players!$E$4:$E$503,MATCH(229,Players!$L$4:$L$503,0)),"")</f>
        <v/>
      </c>
      <c r="E232" s="1" t="str">
        <f>IFERROR(INDEX(Players!$F$4:$F$503,MATCH(229,Players!$L$4:$L$503,0)),"")</f>
        <v/>
      </c>
      <c r="F232" s="1" t="str">
        <f>IFERROR(INDEX(Players!$I$4:$I$503,MATCH(229,Players!$L$4:$L$503,0)),"")</f>
        <v/>
      </c>
    </row>
    <row r="233" spans="1:6">
      <c r="A233" s="1" t="str">
        <f>IFERROR(INDEX(Players!$B$4:$B$503,MATCH(230,Players!$L$4:$L$503,0)),"")</f>
        <v/>
      </c>
      <c r="B233" s="1" t="str">
        <f>IFERROR(INDEX(Players!$C$4:$C$503,MATCH(230,Players!$L$4:$L$503,0)),"")</f>
        <v/>
      </c>
      <c r="C233" s="1" t="str">
        <f>IFERROR(INDEX(Players!$D$4:$D$503,MATCH(230,Players!$L$4:$L$503,0)),"")</f>
        <v/>
      </c>
      <c r="D233" s="7" t="str">
        <f>IFERROR(INDEX(Players!$E$4:$E$503,MATCH(230,Players!$L$4:$L$503,0)),"")</f>
        <v/>
      </c>
      <c r="E233" s="1" t="str">
        <f>IFERROR(INDEX(Players!$F$4:$F$503,MATCH(230,Players!$L$4:$L$503,0)),"")</f>
        <v/>
      </c>
      <c r="F233" s="1" t="str">
        <f>IFERROR(INDEX(Players!$I$4:$I$503,MATCH(230,Players!$L$4:$L$503,0)),"")</f>
        <v/>
      </c>
    </row>
    <row r="234" spans="1:6">
      <c r="A234" s="1" t="str">
        <f>IFERROR(INDEX(Players!$B$4:$B$503,MATCH(231,Players!$L$4:$L$503,0)),"")</f>
        <v/>
      </c>
      <c r="B234" s="1" t="str">
        <f>IFERROR(INDEX(Players!$C$4:$C$503,MATCH(231,Players!$L$4:$L$503,0)),"")</f>
        <v/>
      </c>
      <c r="C234" s="1" t="str">
        <f>IFERROR(INDEX(Players!$D$4:$D$503,MATCH(231,Players!$L$4:$L$503,0)),"")</f>
        <v/>
      </c>
      <c r="D234" s="7" t="str">
        <f>IFERROR(INDEX(Players!$E$4:$E$503,MATCH(231,Players!$L$4:$L$503,0)),"")</f>
        <v/>
      </c>
      <c r="E234" s="1" t="str">
        <f>IFERROR(INDEX(Players!$F$4:$F$503,MATCH(231,Players!$L$4:$L$503,0)),"")</f>
        <v/>
      </c>
      <c r="F234" s="1" t="str">
        <f>IFERROR(INDEX(Players!$I$4:$I$503,MATCH(231,Players!$L$4:$L$503,0)),"")</f>
        <v/>
      </c>
    </row>
    <row r="235" spans="1:6">
      <c r="A235" s="1" t="str">
        <f>IFERROR(INDEX(Players!$B$4:$B$503,MATCH(232,Players!$L$4:$L$503,0)),"")</f>
        <v/>
      </c>
      <c r="B235" s="1" t="str">
        <f>IFERROR(INDEX(Players!$C$4:$C$503,MATCH(232,Players!$L$4:$L$503,0)),"")</f>
        <v/>
      </c>
      <c r="C235" s="1" t="str">
        <f>IFERROR(INDEX(Players!$D$4:$D$503,MATCH(232,Players!$L$4:$L$503,0)),"")</f>
        <v/>
      </c>
      <c r="D235" s="7" t="str">
        <f>IFERROR(INDEX(Players!$E$4:$E$503,MATCH(232,Players!$L$4:$L$503,0)),"")</f>
        <v/>
      </c>
      <c r="E235" s="1" t="str">
        <f>IFERROR(INDEX(Players!$F$4:$F$503,MATCH(232,Players!$L$4:$L$503,0)),"")</f>
        <v/>
      </c>
      <c r="F235" s="1" t="str">
        <f>IFERROR(INDEX(Players!$I$4:$I$503,MATCH(232,Players!$L$4:$L$503,0)),"")</f>
        <v/>
      </c>
    </row>
    <row r="236" spans="1:6">
      <c r="A236" s="1" t="str">
        <f>IFERROR(INDEX(Players!$B$4:$B$503,MATCH(233,Players!$L$4:$L$503,0)),"")</f>
        <v/>
      </c>
      <c r="B236" s="1" t="str">
        <f>IFERROR(INDEX(Players!$C$4:$C$503,MATCH(233,Players!$L$4:$L$503,0)),"")</f>
        <v/>
      </c>
      <c r="C236" s="1" t="str">
        <f>IFERROR(INDEX(Players!$D$4:$D$503,MATCH(233,Players!$L$4:$L$503,0)),"")</f>
        <v/>
      </c>
      <c r="D236" s="7" t="str">
        <f>IFERROR(INDEX(Players!$E$4:$E$503,MATCH(233,Players!$L$4:$L$503,0)),"")</f>
        <v/>
      </c>
      <c r="E236" s="1" t="str">
        <f>IFERROR(INDEX(Players!$F$4:$F$503,MATCH(233,Players!$L$4:$L$503,0)),"")</f>
        <v/>
      </c>
      <c r="F236" s="1" t="str">
        <f>IFERROR(INDEX(Players!$I$4:$I$503,MATCH(233,Players!$L$4:$L$503,0)),"")</f>
        <v/>
      </c>
    </row>
    <row r="237" spans="1:6">
      <c r="A237" s="1" t="str">
        <f>IFERROR(INDEX(Players!$B$4:$B$503,MATCH(234,Players!$L$4:$L$503,0)),"")</f>
        <v/>
      </c>
      <c r="B237" s="1" t="str">
        <f>IFERROR(INDEX(Players!$C$4:$C$503,MATCH(234,Players!$L$4:$L$503,0)),"")</f>
        <v/>
      </c>
      <c r="C237" s="1" t="str">
        <f>IFERROR(INDEX(Players!$D$4:$D$503,MATCH(234,Players!$L$4:$L$503,0)),"")</f>
        <v/>
      </c>
      <c r="D237" s="7" t="str">
        <f>IFERROR(INDEX(Players!$E$4:$E$503,MATCH(234,Players!$L$4:$L$503,0)),"")</f>
        <v/>
      </c>
      <c r="E237" s="1" t="str">
        <f>IFERROR(INDEX(Players!$F$4:$F$503,MATCH(234,Players!$L$4:$L$503,0)),"")</f>
        <v/>
      </c>
      <c r="F237" s="1" t="str">
        <f>IFERROR(INDEX(Players!$I$4:$I$503,MATCH(234,Players!$L$4:$L$503,0)),"")</f>
        <v/>
      </c>
    </row>
    <row r="238" spans="1:6">
      <c r="A238" s="1" t="str">
        <f>IFERROR(INDEX(Players!$B$4:$B$503,MATCH(235,Players!$L$4:$L$503,0)),"")</f>
        <v/>
      </c>
      <c r="B238" s="1" t="str">
        <f>IFERROR(INDEX(Players!$C$4:$C$503,MATCH(235,Players!$L$4:$L$503,0)),"")</f>
        <v/>
      </c>
      <c r="C238" s="1" t="str">
        <f>IFERROR(INDEX(Players!$D$4:$D$503,MATCH(235,Players!$L$4:$L$503,0)),"")</f>
        <v/>
      </c>
      <c r="D238" s="7" t="str">
        <f>IFERROR(INDEX(Players!$E$4:$E$503,MATCH(235,Players!$L$4:$L$503,0)),"")</f>
        <v/>
      </c>
      <c r="E238" s="1" t="str">
        <f>IFERROR(INDEX(Players!$F$4:$F$503,MATCH(235,Players!$L$4:$L$503,0)),"")</f>
        <v/>
      </c>
      <c r="F238" s="1" t="str">
        <f>IFERROR(INDEX(Players!$I$4:$I$503,MATCH(235,Players!$L$4:$L$503,0)),"")</f>
        <v/>
      </c>
    </row>
    <row r="239" spans="1:6">
      <c r="A239" s="1" t="str">
        <f>IFERROR(INDEX(Players!$B$4:$B$503,MATCH(236,Players!$L$4:$L$503,0)),"")</f>
        <v/>
      </c>
      <c r="B239" s="1" t="str">
        <f>IFERROR(INDEX(Players!$C$4:$C$503,MATCH(236,Players!$L$4:$L$503,0)),"")</f>
        <v/>
      </c>
      <c r="C239" s="1" t="str">
        <f>IFERROR(INDEX(Players!$D$4:$D$503,MATCH(236,Players!$L$4:$L$503,0)),"")</f>
        <v/>
      </c>
      <c r="D239" s="7" t="str">
        <f>IFERROR(INDEX(Players!$E$4:$E$503,MATCH(236,Players!$L$4:$L$503,0)),"")</f>
        <v/>
      </c>
      <c r="E239" s="1" t="str">
        <f>IFERROR(INDEX(Players!$F$4:$F$503,MATCH(236,Players!$L$4:$L$503,0)),"")</f>
        <v/>
      </c>
      <c r="F239" s="1" t="str">
        <f>IFERROR(INDEX(Players!$I$4:$I$503,MATCH(236,Players!$L$4:$L$503,0)),"")</f>
        <v/>
      </c>
    </row>
    <row r="240" spans="1:6">
      <c r="A240" s="1" t="str">
        <f>IFERROR(INDEX(Players!$B$4:$B$503,MATCH(237,Players!$L$4:$L$503,0)),"")</f>
        <v/>
      </c>
      <c r="B240" s="1" t="str">
        <f>IFERROR(INDEX(Players!$C$4:$C$503,MATCH(237,Players!$L$4:$L$503,0)),"")</f>
        <v/>
      </c>
      <c r="C240" s="1" t="str">
        <f>IFERROR(INDEX(Players!$D$4:$D$503,MATCH(237,Players!$L$4:$L$503,0)),"")</f>
        <v/>
      </c>
      <c r="D240" s="7" t="str">
        <f>IFERROR(INDEX(Players!$E$4:$E$503,MATCH(237,Players!$L$4:$L$503,0)),"")</f>
        <v/>
      </c>
      <c r="E240" s="1" t="str">
        <f>IFERROR(INDEX(Players!$F$4:$F$503,MATCH(237,Players!$L$4:$L$503,0)),"")</f>
        <v/>
      </c>
      <c r="F240" s="1" t="str">
        <f>IFERROR(INDEX(Players!$I$4:$I$503,MATCH(237,Players!$L$4:$L$503,0)),"")</f>
        <v/>
      </c>
    </row>
    <row r="241" spans="1:6">
      <c r="A241" s="1" t="str">
        <f>IFERROR(INDEX(Players!$B$4:$B$503,MATCH(238,Players!$L$4:$L$503,0)),"")</f>
        <v/>
      </c>
      <c r="B241" s="1" t="str">
        <f>IFERROR(INDEX(Players!$C$4:$C$503,MATCH(238,Players!$L$4:$L$503,0)),"")</f>
        <v/>
      </c>
      <c r="C241" s="1" t="str">
        <f>IFERROR(INDEX(Players!$D$4:$D$503,MATCH(238,Players!$L$4:$L$503,0)),"")</f>
        <v/>
      </c>
      <c r="D241" s="7" t="str">
        <f>IFERROR(INDEX(Players!$E$4:$E$503,MATCH(238,Players!$L$4:$L$503,0)),"")</f>
        <v/>
      </c>
      <c r="E241" s="1" t="str">
        <f>IFERROR(INDEX(Players!$F$4:$F$503,MATCH(238,Players!$L$4:$L$503,0)),"")</f>
        <v/>
      </c>
      <c r="F241" s="1" t="str">
        <f>IFERROR(INDEX(Players!$I$4:$I$503,MATCH(238,Players!$L$4:$L$503,0)),"")</f>
        <v/>
      </c>
    </row>
    <row r="242" spans="1:6">
      <c r="A242" s="1" t="str">
        <f>IFERROR(INDEX(Players!$B$4:$B$503,MATCH(239,Players!$L$4:$L$503,0)),"")</f>
        <v/>
      </c>
      <c r="B242" s="1" t="str">
        <f>IFERROR(INDEX(Players!$C$4:$C$503,MATCH(239,Players!$L$4:$L$503,0)),"")</f>
        <v/>
      </c>
      <c r="C242" s="1" t="str">
        <f>IFERROR(INDEX(Players!$D$4:$D$503,MATCH(239,Players!$L$4:$L$503,0)),"")</f>
        <v/>
      </c>
      <c r="D242" s="7" t="str">
        <f>IFERROR(INDEX(Players!$E$4:$E$503,MATCH(239,Players!$L$4:$L$503,0)),"")</f>
        <v/>
      </c>
      <c r="E242" s="1" t="str">
        <f>IFERROR(INDEX(Players!$F$4:$F$503,MATCH(239,Players!$L$4:$L$503,0)),"")</f>
        <v/>
      </c>
      <c r="F242" s="1" t="str">
        <f>IFERROR(INDEX(Players!$I$4:$I$503,MATCH(239,Players!$L$4:$L$503,0)),"")</f>
        <v/>
      </c>
    </row>
    <row r="243" spans="1:6">
      <c r="A243" s="1" t="str">
        <f>IFERROR(INDEX(Players!$B$4:$B$503,MATCH(240,Players!$L$4:$L$503,0)),"")</f>
        <v/>
      </c>
      <c r="B243" s="1" t="str">
        <f>IFERROR(INDEX(Players!$C$4:$C$503,MATCH(240,Players!$L$4:$L$503,0)),"")</f>
        <v/>
      </c>
      <c r="C243" s="1" t="str">
        <f>IFERROR(INDEX(Players!$D$4:$D$503,MATCH(240,Players!$L$4:$L$503,0)),"")</f>
        <v/>
      </c>
      <c r="D243" s="7" t="str">
        <f>IFERROR(INDEX(Players!$E$4:$E$503,MATCH(240,Players!$L$4:$L$503,0)),"")</f>
        <v/>
      </c>
      <c r="E243" s="1" t="str">
        <f>IFERROR(INDEX(Players!$F$4:$F$503,MATCH(240,Players!$L$4:$L$503,0)),"")</f>
        <v/>
      </c>
      <c r="F243" s="1" t="str">
        <f>IFERROR(INDEX(Players!$I$4:$I$503,MATCH(240,Players!$L$4:$L$503,0)),"")</f>
        <v/>
      </c>
    </row>
    <row r="244" spans="1:6">
      <c r="A244" s="1" t="str">
        <f>IFERROR(INDEX(Players!$B$4:$B$503,MATCH(241,Players!$L$4:$L$503,0)),"")</f>
        <v/>
      </c>
      <c r="B244" s="1" t="str">
        <f>IFERROR(INDEX(Players!$C$4:$C$503,MATCH(241,Players!$L$4:$L$503,0)),"")</f>
        <v/>
      </c>
      <c r="C244" s="1" t="str">
        <f>IFERROR(INDEX(Players!$D$4:$D$503,MATCH(241,Players!$L$4:$L$503,0)),"")</f>
        <v/>
      </c>
      <c r="D244" s="7" t="str">
        <f>IFERROR(INDEX(Players!$E$4:$E$503,MATCH(241,Players!$L$4:$L$503,0)),"")</f>
        <v/>
      </c>
      <c r="E244" s="1" t="str">
        <f>IFERROR(INDEX(Players!$F$4:$F$503,MATCH(241,Players!$L$4:$L$503,0)),"")</f>
        <v/>
      </c>
      <c r="F244" s="1" t="str">
        <f>IFERROR(INDEX(Players!$I$4:$I$503,MATCH(241,Players!$L$4:$L$503,0)),"")</f>
        <v/>
      </c>
    </row>
    <row r="245" spans="1:6">
      <c r="A245" s="1" t="str">
        <f>IFERROR(INDEX(Players!$B$4:$B$503,MATCH(242,Players!$L$4:$L$503,0)),"")</f>
        <v/>
      </c>
      <c r="B245" s="1" t="str">
        <f>IFERROR(INDEX(Players!$C$4:$C$503,MATCH(242,Players!$L$4:$L$503,0)),"")</f>
        <v/>
      </c>
      <c r="C245" s="1" t="str">
        <f>IFERROR(INDEX(Players!$D$4:$D$503,MATCH(242,Players!$L$4:$L$503,0)),"")</f>
        <v/>
      </c>
      <c r="D245" s="7" t="str">
        <f>IFERROR(INDEX(Players!$E$4:$E$503,MATCH(242,Players!$L$4:$L$503,0)),"")</f>
        <v/>
      </c>
      <c r="E245" s="1" t="str">
        <f>IFERROR(INDEX(Players!$F$4:$F$503,MATCH(242,Players!$L$4:$L$503,0)),"")</f>
        <v/>
      </c>
      <c r="F245" s="1" t="str">
        <f>IFERROR(INDEX(Players!$I$4:$I$503,MATCH(242,Players!$L$4:$L$503,0)),"")</f>
        <v/>
      </c>
    </row>
    <row r="246" spans="1:6">
      <c r="A246" s="1" t="str">
        <f>IFERROR(INDEX(Players!$B$4:$B$503,MATCH(243,Players!$L$4:$L$503,0)),"")</f>
        <v/>
      </c>
      <c r="B246" s="1" t="str">
        <f>IFERROR(INDEX(Players!$C$4:$C$503,MATCH(243,Players!$L$4:$L$503,0)),"")</f>
        <v/>
      </c>
      <c r="C246" s="1" t="str">
        <f>IFERROR(INDEX(Players!$D$4:$D$503,MATCH(243,Players!$L$4:$L$503,0)),"")</f>
        <v/>
      </c>
      <c r="D246" s="7" t="str">
        <f>IFERROR(INDEX(Players!$E$4:$E$503,MATCH(243,Players!$L$4:$L$503,0)),"")</f>
        <v/>
      </c>
      <c r="E246" s="1" t="str">
        <f>IFERROR(INDEX(Players!$F$4:$F$503,MATCH(243,Players!$L$4:$L$503,0)),"")</f>
        <v/>
      </c>
      <c r="F246" s="1" t="str">
        <f>IFERROR(INDEX(Players!$I$4:$I$503,MATCH(243,Players!$L$4:$L$503,0)),"")</f>
        <v/>
      </c>
    </row>
    <row r="247" spans="1:6">
      <c r="A247" s="1" t="str">
        <f>IFERROR(INDEX(Players!$B$4:$B$503,MATCH(244,Players!$L$4:$L$503,0)),"")</f>
        <v/>
      </c>
      <c r="B247" s="1" t="str">
        <f>IFERROR(INDEX(Players!$C$4:$C$503,MATCH(244,Players!$L$4:$L$503,0)),"")</f>
        <v/>
      </c>
      <c r="C247" s="1" t="str">
        <f>IFERROR(INDEX(Players!$D$4:$D$503,MATCH(244,Players!$L$4:$L$503,0)),"")</f>
        <v/>
      </c>
      <c r="D247" s="7" t="str">
        <f>IFERROR(INDEX(Players!$E$4:$E$503,MATCH(244,Players!$L$4:$L$503,0)),"")</f>
        <v/>
      </c>
      <c r="E247" s="1" t="str">
        <f>IFERROR(INDEX(Players!$F$4:$F$503,MATCH(244,Players!$L$4:$L$503,0)),"")</f>
        <v/>
      </c>
      <c r="F247" s="1" t="str">
        <f>IFERROR(INDEX(Players!$I$4:$I$503,MATCH(244,Players!$L$4:$L$503,0)),"")</f>
        <v/>
      </c>
    </row>
    <row r="248" spans="1:6">
      <c r="A248" s="1" t="str">
        <f>IFERROR(INDEX(Players!$B$4:$B$503,MATCH(245,Players!$L$4:$L$503,0)),"")</f>
        <v/>
      </c>
      <c r="B248" s="1" t="str">
        <f>IFERROR(INDEX(Players!$C$4:$C$503,MATCH(245,Players!$L$4:$L$503,0)),"")</f>
        <v/>
      </c>
      <c r="C248" s="1" t="str">
        <f>IFERROR(INDEX(Players!$D$4:$D$503,MATCH(245,Players!$L$4:$L$503,0)),"")</f>
        <v/>
      </c>
      <c r="D248" s="7" t="str">
        <f>IFERROR(INDEX(Players!$E$4:$E$503,MATCH(245,Players!$L$4:$L$503,0)),"")</f>
        <v/>
      </c>
      <c r="E248" s="1" t="str">
        <f>IFERROR(INDEX(Players!$F$4:$F$503,MATCH(245,Players!$L$4:$L$503,0)),"")</f>
        <v/>
      </c>
      <c r="F248" s="1" t="str">
        <f>IFERROR(INDEX(Players!$I$4:$I$503,MATCH(245,Players!$L$4:$L$503,0)),"")</f>
        <v/>
      </c>
    </row>
    <row r="249" spans="1:6">
      <c r="A249" s="1" t="str">
        <f>IFERROR(INDEX(Players!$B$4:$B$503,MATCH(246,Players!$L$4:$L$503,0)),"")</f>
        <v/>
      </c>
      <c r="B249" s="1" t="str">
        <f>IFERROR(INDEX(Players!$C$4:$C$503,MATCH(246,Players!$L$4:$L$503,0)),"")</f>
        <v/>
      </c>
      <c r="C249" s="1" t="str">
        <f>IFERROR(INDEX(Players!$D$4:$D$503,MATCH(246,Players!$L$4:$L$503,0)),"")</f>
        <v/>
      </c>
      <c r="D249" s="7" t="str">
        <f>IFERROR(INDEX(Players!$E$4:$E$503,MATCH(246,Players!$L$4:$L$503,0)),"")</f>
        <v/>
      </c>
      <c r="E249" s="1" t="str">
        <f>IFERROR(INDEX(Players!$F$4:$F$503,MATCH(246,Players!$L$4:$L$503,0)),"")</f>
        <v/>
      </c>
      <c r="F249" s="1" t="str">
        <f>IFERROR(INDEX(Players!$I$4:$I$503,MATCH(246,Players!$L$4:$L$503,0)),"")</f>
        <v/>
      </c>
    </row>
    <row r="250" spans="1:6">
      <c r="A250" s="1" t="str">
        <f>IFERROR(INDEX(Players!$B$4:$B$503,MATCH(247,Players!$L$4:$L$503,0)),"")</f>
        <v/>
      </c>
      <c r="B250" s="1" t="str">
        <f>IFERROR(INDEX(Players!$C$4:$C$503,MATCH(247,Players!$L$4:$L$503,0)),"")</f>
        <v/>
      </c>
      <c r="C250" s="1" t="str">
        <f>IFERROR(INDEX(Players!$D$4:$D$503,MATCH(247,Players!$L$4:$L$503,0)),"")</f>
        <v/>
      </c>
      <c r="D250" s="7" t="str">
        <f>IFERROR(INDEX(Players!$E$4:$E$503,MATCH(247,Players!$L$4:$L$503,0)),"")</f>
        <v/>
      </c>
      <c r="E250" s="1" t="str">
        <f>IFERROR(INDEX(Players!$F$4:$F$503,MATCH(247,Players!$L$4:$L$503,0)),"")</f>
        <v/>
      </c>
      <c r="F250" s="1" t="str">
        <f>IFERROR(INDEX(Players!$I$4:$I$503,MATCH(247,Players!$L$4:$L$503,0)),"")</f>
        <v/>
      </c>
    </row>
    <row r="251" spans="1:6">
      <c r="A251" s="1" t="str">
        <f>IFERROR(INDEX(Players!$B$4:$B$503,MATCH(248,Players!$L$4:$L$503,0)),"")</f>
        <v/>
      </c>
      <c r="B251" s="1" t="str">
        <f>IFERROR(INDEX(Players!$C$4:$C$503,MATCH(248,Players!$L$4:$L$503,0)),"")</f>
        <v/>
      </c>
      <c r="C251" s="1" t="str">
        <f>IFERROR(INDEX(Players!$D$4:$D$503,MATCH(248,Players!$L$4:$L$503,0)),"")</f>
        <v/>
      </c>
      <c r="D251" s="7" t="str">
        <f>IFERROR(INDEX(Players!$E$4:$E$503,MATCH(248,Players!$L$4:$L$503,0)),"")</f>
        <v/>
      </c>
      <c r="E251" s="1" t="str">
        <f>IFERROR(INDEX(Players!$F$4:$F$503,MATCH(248,Players!$L$4:$L$503,0)),"")</f>
        <v/>
      </c>
      <c r="F251" s="1" t="str">
        <f>IFERROR(INDEX(Players!$I$4:$I$503,MATCH(248,Players!$L$4:$L$503,0)),"")</f>
        <v/>
      </c>
    </row>
    <row r="252" spans="1:6">
      <c r="A252" s="1" t="str">
        <f>IFERROR(INDEX(Players!$B$4:$B$503,MATCH(249,Players!$L$4:$L$503,0)),"")</f>
        <v/>
      </c>
      <c r="B252" s="1" t="str">
        <f>IFERROR(INDEX(Players!$C$4:$C$503,MATCH(249,Players!$L$4:$L$503,0)),"")</f>
        <v/>
      </c>
      <c r="C252" s="1" t="str">
        <f>IFERROR(INDEX(Players!$D$4:$D$503,MATCH(249,Players!$L$4:$L$503,0)),"")</f>
        <v/>
      </c>
      <c r="D252" s="7" t="str">
        <f>IFERROR(INDEX(Players!$E$4:$E$503,MATCH(249,Players!$L$4:$L$503,0)),"")</f>
        <v/>
      </c>
      <c r="E252" s="1" t="str">
        <f>IFERROR(INDEX(Players!$F$4:$F$503,MATCH(249,Players!$L$4:$L$503,0)),"")</f>
        <v/>
      </c>
      <c r="F252" s="1" t="str">
        <f>IFERROR(INDEX(Players!$I$4:$I$503,MATCH(249,Players!$L$4:$L$503,0)),"")</f>
        <v/>
      </c>
    </row>
    <row r="253" spans="1:6">
      <c r="A253" s="1" t="str">
        <f>IFERROR(INDEX(Players!$B$4:$B$503,MATCH(250,Players!$L$4:$L$503,0)),"")</f>
        <v/>
      </c>
      <c r="B253" s="1" t="str">
        <f>IFERROR(INDEX(Players!$C$4:$C$503,MATCH(250,Players!$L$4:$L$503,0)),"")</f>
        <v/>
      </c>
      <c r="C253" s="1" t="str">
        <f>IFERROR(INDEX(Players!$D$4:$D$503,MATCH(250,Players!$L$4:$L$503,0)),"")</f>
        <v/>
      </c>
      <c r="D253" s="7" t="str">
        <f>IFERROR(INDEX(Players!$E$4:$E$503,MATCH(250,Players!$L$4:$L$503,0)),"")</f>
        <v/>
      </c>
      <c r="E253" s="1" t="str">
        <f>IFERROR(INDEX(Players!$F$4:$F$503,MATCH(250,Players!$L$4:$L$503,0)),"")</f>
        <v/>
      </c>
      <c r="F253" s="1" t="str">
        <f>IFERROR(INDEX(Players!$I$4:$I$503,MATCH(250,Players!$L$4:$L$503,0)),"")</f>
        <v/>
      </c>
    </row>
    <row r="254" spans="1:6">
      <c r="A254" s="1" t="str">
        <f>IFERROR(INDEX(Players!$B$4:$B$503,MATCH(251,Players!$L$4:$L$503,0)),"")</f>
        <v/>
      </c>
      <c r="B254" s="1" t="str">
        <f>IFERROR(INDEX(Players!$C$4:$C$503,MATCH(251,Players!$L$4:$L$503,0)),"")</f>
        <v/>
      </c>
      <c r="C254" s="1" t="str">
        <f>IFERROR(INDEX(Players!$D$4:$D$503,MATCH(251,Players!$L$4:$L$503,0)),"")</f>
        <v/>
      </c>
      <c r="D254" s="7" t="str">
        <f>IFERROR(INDEX(Players!$E$4:$E$503,MATCH(251,Players!$L$4:$L$503,0)),"")</f>
        <v/>
      </c>
      <c r="E254" s="1" t="str">
        <f>IFERROR(INDEX(Players!$F$4:$F$503,MATCH(251,Players!$L$4:$L$503,0)),"")</f>
        <v/>
      </c>
      <c r="F254" s="1" t="str">
        <f>IFERROR(INDEX(Players!$I$4:$I$503,MATCH(251,Players!$L$4:$L$503,0)),"")</f>
        <v/>
      </c>
    </row>
    <row r="255" spans="1:6">
      <c r="A255" s="1" t="str">
        <f>IFERROR(INDEX(Players!$B$4:$B$503,MATCH(252,Players!$L$4:$L$503,0)),"")</f>
        <v/>
      </c>
      <c r="B255" s="1" t="str">
        <f>IFERROR(INDEX(Players!$C$4:$C$503,MATCH(252,Players!$L$4:$L$503,0)),"")</f>
        <v/>
      </c>
      <c r="C255" s="1" t="str">
        <f>IFERROR(INDEX(Players!$D$4:$D$503,MATCH(252,Players!$L$4:$L$503,0)),"")</f>
        <v/>
      </c>
      <c r="D255" s="7" t="str">
        <f>IFERROR(INDEX(Players!$E$4:$E$503,MATCH(252,Players!$L$4:$L$503,0)),"")</f>
        <v/>
      </c>
      <c r="E255" s="1" t="str">
        <f>IFERROR(INDEX(Players!$F$4:$F$503,MATCH(252,Players!$L$4:$L$503,0)),"")</f>
        <v/>
      </c>
      <c r="F255" s="1" t="str">
        <f>IFERROR(INDEX(Players!$I$4:$I$503,MATCH(252,Players!$L$4:$L$503,0)),"")</f>
        <v/>
      </c>
    </row>
    <row r="256" spans="1:6">
      <c r="A256" s="1" t="str">
        <f>IFERROR(INDEX(Players!$B$4:$B$503,MATCH(253,Players!$L$4:$L$503,0)),"")</f>
        <v/>
      </c>
      <c r="B256" s="1" t="str">
        <f>IFERROR(INDEX(Players!$C$4:$C$503,MATCH(253,Players!$L$4:$L$503,0)),"")</f>
        <v/>
      </c>
      <c r="C256" s="1" t="str">
        <f>IFERROR(INDEX(Players!$D$4:$D$503,MATCH(253,Players!$L$4:$L$503,0)),"")</f>
        <v/>
      </c>
      <c r="D256" s="7" t="str">
        <f>IFERROR(INDEX(Players!$E$4:$E$503,MATCH(253,Players!$L$4:$L$503,0)),"")</f>
        <v/>
      </c>
      <c r="E256" s="1" t="str">
        <f>IFERROR(INDEX(Players!$F$4:$F$503,MATCH(253,Players!$L$4:$L$503,0)),"")</f>
        <v/>
      </c>
      <c r="F256" s="1" t="str">
        <f>IFERROR(INDEX(Players!$I$4:$I$503,MATCH(253,Players!$L$4:$L$503,0)),"")</f>
        <v/>
      </c>
    </row>
    <row r="257" spans="1:6">
      <c r="A257" s="1" t="str">
        <f>IFERROR(INDEX(Players!$B$4:$B$503,MATCH(254,Players!$L$4:$L$503,0)),"")</f>
        <v/>
      </c>
      <c r="B257" s="1" t="str">
        <f>IFERROR(INDEX(Players!$C$4:$C$503,MATCH(254,Players!$L$4:$L$503,0)),"")</f>
        <v/>
      </c>
      <c r="C257" s="1" t="str">
        <f>IFERROR(INDEX(Players!$D$4:$D$503,MATCH(254,Players!$L$4:$L$503,0)),"")</f>
        <v/>
      </c>
      <c r="D257" s="7" t="str">
        <f>IFERROR(INDEX(Players!$E$4:$E$503,MATCH(254,Players!$L$4:$L$503,0)),"")</f>
        <v/>
      </c>
      <c r="E257" s="1" t="str">
        <f>IFERROR(INDEX(Players!$F$4:$F$503,MATCH(254,Players!$L$4:$L$503,0)),"")</f>
        <v/>
      </c>
      <c r="F257" s="1" t="str">
        <f>IFERROR(INDEX(Players!$I$4:$I$503,MATCH(254,Players!$L$4:$L$503,0)),"")</f>
        <v/>
      </c>
    </row>
    <row r="258" spans="1:6">
      <c r="A258" s="1" t="str">
        <f>IFERROR(INDEX(Players!$B$4:$B$503,MATCH(255,Players!$L$4:$L$503,0)),"")</f>
        <v/>
      </c>
      <c r="B258" s="1" t="str">
        <f>IFERROR(INDEX(Players!$C$4:$C$503,MATCH(255,Players!$L$4:$L$503,0)),"")</f>
        <v/>
      </c>
      <c r="C258" s="1" t="str">
        <f>IFERROR(INDEX(Players!$D$4:$D$503,MATCH(255,Players!$L$4:$L$503,0)),"")</f>
        <v/>
      </c>
      <c r="D258" s="7" t="str">
        <f>IFERROR(INDEX(Players!$E$4:$E$503,MATCH(255,Players!$L$4:$L$503,0)),"")</f>
        <v/>
      </c>
      <c r="E258" s="1" t="str">
        <f>IFERROR(INDEX(Players!$F$4:$F$503,MATCH(255,Players!$L$4:$L$503,0)),"")</f>
        <v/>
      </c>
      <c r="F258" s="1" t="str">
        <f>IFERROR(INDEX(Players!$I$4:$I$503,MATCH(255,Players!$L$4:$L$503,0)),"")</f>
        <v/>
      </c>
    </row>
    <row r="259" spans="1:6">
      <c r="A259" s="1" t="str">
        <f>IFERROR(INDEX(Players!$B$4:$B$503,MATCH(256,Players!$L$4:$L$503,0)),"")</f>
        <v/>
      </c>
      <c r="B259" s="1" t="str">
        <f>IFERROR(INDEX(Players!$C$4:$C$503,MATCH(256,Players!$L$4:$L$503,0)),"")</f>
        <v/>
      </c>
      <c r="C259" s="1" t="str">
        <f>IFERROR(INDEX(Players!$D$4:$D$503,MATCH(256,Players!$L$4:$L$503,0)),"")</f>
        <v/>
      </c>
      <c r="D259" s="7" t="str">
        <f>IFERROR(INDEX(Players!$E$4:$E$503,MATCH(256,Players!$L$4:$L$503,0)),"")</f>
        <v/>
      </c>
      <c r="E259" s="1" t="str">
        <f>IFERROR(INDEX(Players!$F$4:$F$503,MATCH(256,Players!$L$4:$L$503,0)),"")</f>
        <v/>
      </c>
      <c r="F259" s="1" t="str">
        <f>IFERROR(INDEX(Players!$I$4:$I$503,MATCH(256,Players!$L$4:$L$503,0)),"")</f>
        <v/>
      </c>
    </row>
    <row r="260" spans="1:6">
      <c r="A260" s="1" t="str">
        <f>IFERROR(INDEX(Players!$B$4:$B$503,MATCH(257,Players!$L$4:$L$503,0)),"")</f>
        <v/>
      </c>
      <c r="B260" s="1" t="str">
        <f>IFERROR(INDEX(Players!$C$4:$C$503,MATCH(257,Players!$L$4:$L$503,0)),"")</f>
        <v/>
      </c>
      <c r="C260" s="1" t="str">
        <f>IFERROR(INDEX(Players!$D$4:$D$503,MATCH(257,Players!$L$4:$L$503,0)),"")</f>
        <v/>
      </c>
      <c r="D260" s="7" t="str">
        <f>IFERROR(INDEX(Players!$E$4:$E$503,MATCH(257,Players!$L$4:$L$503,0)),"")</f>
        <v/>
      </c>
      <c r="E260" s="1" t="str">
        <f>IFERROR(INDEX(Players!$F$4:$F$503,MATCH(257,Players!$L$4:$L$503,0)),"")</f>
        <v/>
      </c>
      <c r="F260" s="1" t="str">
        <f>IFERROR(INDEX(Players!$I$4:$I$503,MATCH(257,Players!$L$4:$L$503,0)),"")</f>
        <v/>
      </c>
    </row>
    <row r="261" spans="1:6">
      <c r="A261" s="1" t="str">
        <f>IFERROR(INDEX(Players!$B$4:$B$503,MATCH(258,Players!$L$4:$L$503,0)),"")</f>
        <v/>
      </c>
      <c r="B261" s="1" t="str">
        <f>IFERROR(INDEX(Players!$C$4:$C$503,MATCH(258,Players!$L$4:$L$503,0)),"")</f>
        <v/>
      </c>
      <c r="C261" s="1" t="str">
        <f>IFERROR(INDEX(Players!$D$4:$D$503,MATCH(258,Players!$L$4:$L$503,0)),"")</f>
        <v/>
      </c>
      <c r="D261" s="7" t="str">
        <f>IFERROR(INDEX(Players!$E$4:$E$503,MATCH(258,Players!$L$4:$L$503,0)),"")</f>
        <v/>
      </c>
      <c r="E261" s="1" t="str">
        <f>IFERROR(INDEX(Players!$F$4:$F$503,MATCH(258,Players!$L$4:$L$503,0)),"")</f>
        <v/>
      </c>
      <c r="F261" s="1" t="str">
        <f>IFERROR(INDEX(Players!$I$4:$I$503,MATCH(258,Players!$L$4:$L$503,0)),"")</f>
        <v/>
      </c>
    </row>
    <row r="262" spans="1:6">
      <c r="A262" s="1" t="str">
        <f>IFERROR(INDEX(Players!$B$4:$B$503,MATCH(259,Players!$L$4:$L$503,0)),"")</f>
        <v/>
      </c>
      <c r="B262" s="1" t="str">
        <f>IFERROR(INDEX(Players!$C$4:$C$503,MATCH(259,Players!$L$4:$L$503,0)),"")</f>
        <v/>
      </c>
      <c r="C262" s="1" t="str">
        <f>IFERROR(INDEX(Players!$D$4:$D$503,MATCH(259,Players!$L$4:$L$503,0)),"")</f>
        <v/>
      </c>
      <c r="D262" s="7" t="str">
        <f>IFERROR(INDEX(Players!$E$4:$E$503,MATCH(259,Players!$L$4:$L$503,0)),"")</f>
        <v/>
      </c>
      <c r="E262" s="1" t="str">
        <f>IFERROR(INDEX(Players!$F$4:$F$503,MATCH(259,Players!$L$4:$L$503,0)),"")</f>
        <v/>
      </c>
      <c r="F262" s="1" t="str">
        <f>IFERROR(INDEX(Players!$I$4:$I$503,MATCH(259,Players!$L$4:$L$503,0)),"")</f>
        <v/>
      </c>
    </row>
    <row r="263" spans="1:6">
      <c r="A263" s="1" t="str">
        <f>IFERROR(INDEX(Players!$B$4:$B$503,MATCH(260,Players!$L$4:$L$503,0)),"")</f>
        <v/>
      </c>
      <c r="B263" s="1" t="str">
        <f>IFERROR(INDEX(Players!$C$4:$C$503,MATCH(260,Players!$L$4:$L$503,0)),"")</f>
        <v/>
      </c>
      <c r="C263" s="1" t="str">
        <f>IFERROR(INDEX(Players!$D$4:$D$503,MATCH(260,Players!$L$4:$L$503,0)),"")</f>
        <v/>
      </c>
      <c r="D263" s="7" t="str">
        <f>IFERROR(INDEX(Players!$E$4:$E$503,MATCH(260,Players!$L$4:$L$503,0)),"")</f>
        <v/>
      </c>
      <c r="E263" s="1" t="str">
        <f>IFERROR(INDEX(Players!$F$4:$F$503,MATCH(260,Players!$L$4:$L$503,0)),"")</f>
        <v/>
      </c>
      <c r="F263" s="1" t="str">
        <f>IFERROR(INDEX(Players!$I$4:$I$503,MATCH(260,Players!$L$4:$L$503,0)),"")</f>
        <v/>
      </c>
    </row>
    <row r="264" spans="1:6">
      <c r="A264" s="1" t="str">
        <f>IFERROR(INDEX(Players!$B$4:$B$503,MATCH(261,Players!$L$4:$L$503,0)),"")</f>
        <v/>
      </c>
      <c r="B264" s="1" t="str">
        <f>IFERROR(INDEX(Players!$C$4:$C$503,MATCH(261,Players!$L$4:$L$503,0)),"")</f>
        <v/>
      </c>
      <c r="C264" s="1" t="str">
        <f>IFERROR(INDEX(Players!$D$4:$D$503,MATCH(261,Players!$L$4:$L$503,0)),"")</f>
        <v/>
      </c>
      <c r="D264" s="7" t="str">
        <f>IFERROR(INDEX(Players!$E$4:$E$503,MATCH(261,Players!$L$4:$L$503,0)),"")</f>
        <v/>
      </c>
      <c r="E264" s="1" t="str">
        <f>IFERROR(INDEX(Players!$F$4:$F$503,MATCH(261,Players!$L$4:$L$503,0)),"")</f>
        <v/>
      </c>
      <c r="F264" s="1" t="str">
        <f>IFERROR(INDEX(Players!$I$4:$I$503,MATCH(261,Players!$L$4:$L$503,0)),"")</f>
        <v/>
      </c>
    </row>
    <row r="265" spans="1:6">
      <c r="A265" s="1" t="str">
        <f>IFERROR(INDEX(Players!$B$4:$B$503,MATCH(262,Players!$L$4:$L$503,0)),"")</f>
        <v/>
      </c>
      <c r="B265" s="1" t="str">
        <f>IFERROR(INDEX(Players!$C$4:$C$503,MATCH(262,Players!$L$4:$L$503,0)),"")</f>
        <v/>
      </c>
      <c r="C265" s="1" t="str">
        <f>IFERROR(INDEX(Players!$D$4:$D$503,MATCH(262,Players!$L$4:$L$503,0)),"")</f>
        <v/>
      </c>
      <c r="D265" s="7" t="str">
        <f>IFERROR(INDEX(Players!$E$4:$E$503,MATCH(262,Players!$L$4:$L$503,0)),"")</f>
        <v/>
      </c>
      <c r="E265" s="1" t="str">
        <f>IFERROR(INDEX(Players!$F$4:$F$503,MATCH(262,Players!$L$4:$L$503,0)),"")</f>
        <v/>
      </c>
      <c r="F265" s="1" t="str">
        <f>IFERROR(INDEX(Players!$I$4:$I$503,MATCH(262,Players!$L$4:$L$503,0)),"")</f>
        <v/>
      </c>
    </row>
    <row r="266" spans="1:6">
      <c r="A266" s="1" t="str">
        <f>IFERROR(INDEX(Players!$B$4:$B$503,MATCH(263,Players!$L$4:$L$503,0)),"")</f>
        <v/>
      </c>
      <c r="B266" s="1" t="str">
        <f>IFERROR(INDEX(Players!$C$4:$C$503,MATCH(263,Players!$L$4:$L$503,0)),"")</f>
        <v/>
      </c>
      <c r="C266" s="1" t="str">
        <f>IFERROR(INDEX(Players!$D$4:$D$503,MATCH(263,Players!$L$4:$L$503,0)),"")</f>
        <v/>
      </c>
      <c r="D266" s="7" t="str">
        <f>IFERROR(INDEX(Players!$E$4:$E$503,MATCH(263,Players!$L$4:$L$503,0)),"")</f>
        <v/>
      </c>
      <c r="E266" s="1" t="str">
        <f>IFERROR(INDEX(Players!$F$4:$F$503,MATCH(263,Players!$L$4:$L$503,0)),"")</f>
        <v/>
      </c>
      <c r="F266" s="1" t="str">
        <f>IFERROR(INDEX(Players!$I$4:$I$503,MATCH(263,Players!$L$4:$L$503,0)),"")</f>
        <v/>
      </c>
    </row>
    <row r="267" spans="1:6">
      <c r="A267" s="1" t="str">
        <f>IFERROR(INDEX(Players!$B$4:$B$503,MATCH(264,Players!$L$4:$L$503,0)),"")</f>
        <v/>
      </c>
      <c r="B267" s="1" t="str">
        <f>IFERROR(INDEX(Players!$C$4:$C$503,MATCH(264,Players!$L$4:$L$503,0)),"")</f>
        <v/>
      </c>
      <c r="C267" s="1" t="str">
        <f>IFERROR(INDEX(Players!$D$4:$D$503,MATCH(264,Players!$L$4:$L$503,0)),"")</f>
        <v/>
      </c>
      <c r="D267" s="7" t="str">
        <f>IFERROR(INDEX(Players!$E$4:$E$503,MATCH(264,Players!$L$4:$L$503,0)),"")</f>
        <v/>
      </c>
      <c r="E267" s="1" t="str">
        <f>IFERROR(INDEX(Players!$F$4:$F$503,MATCH(264,Players!$L$4:$L$503,0)),"")</f>
        <v/>
      </c>
      <c r="F267" s="1" t="str">
        <f>IFERROR(INDEX(Players!$I$4:$I$503,MATCH(264,Players!$L$4:$L$503,0)),"")</f>
        <v/>
      </c>
    </row>
    <row r="268" spans="1:6">
      <c r="A268" s="1" t="str">
        <f>IFERROR(INDEX(Players!$B$4:$B$503,MATCH(265,Players!$L$4:$L$503,0)),"")</f>
        <v/>
      </c>
      <c r="B268" s="1" t="str">
        <f>IFERROR(INDEX(Players!$C$4:$C$503,MATCH(265,Players!$L$4:$L$503,0)),"")</f>
        <v/>
      </c>
      <c r="C268" s="1" t="str">
        <f>IFERROR(INDEX(Players!$D$4:$D$503,MATCH(265,Players!$L$4:$L$503,0)),"")</f>
        <v/>
      </c>
      <c r="D268" s="7" t="str">
        <f>IFERROR(INDEX(Players!$E$4:$E$503,MATCH(265,Players!$L$4:$L$503,0)),"")</f>
        <v/>
      </c>
      <c r="E268" s="1" t="str">
        <f>IFERROR(INDEX(Players!$F$4:$F$503,MATCH(265,Players!$L$4:$L$503,0)),"")</f>
        <v/>
      </c>
      <c r="F268" s="1" t="str">
        <f>IFERROR(INDEX(Players!$I$4:$I$503,MATCH(265,Players!$L$4:$L$503,0)),"")</f>
        <v/>
      </c>
    </row>
    <row r="269" spans="1:6">
      <c r="A269" s="1" t="str">
        <f>IFERROR(INDEX(Players!$B$4:$B$503,MATCH(266,Players!$L$4:$L$503,0)),"")</f>
        <v/>
      </c>
      <c r="B269" s="1" t="str">
        <f>IFERROR(INDEX(Players!$C$4:$C$503,MATCH(266,Players!$L$4:$L$503,0)),"")</f>
        <v/>
      </c>
      <c r="C269" s="1" t="str">
        <f>IFERROR(INDEX(Players!$D$4:$D$503,MATCH(266,Players!$L$4:$L$503,0)),"")</f>
        <v/>
      </c>
      <c r="D269" s="7" t="str">
        <f>IFERROR(INDEX(Players!$E$4:$E$503,MATCH(266,Players!$L$4:$L$503,0)),"")</f>
        <v/>
      </c>
      <c r="E269" s="1" t="str">
        <f>IFERROR(INDEX(Players!$F$4:$F$503,MATCH(266,Players!$L$4:$L$503,0)),"")</f>
        <v/>
      </c>
      <c r="F269" s="1" t="str">
        <f>IFERROR(INDEX(Players!$I$4:$I$503,MATCH(266,Players!$L$4:$L$503,0)),"")</f>
        <v/>
      </c>
    </row>
    <row r="270" spans="1:6">
      <c r="A270" s="1" t="str">
        <f>IFERROR(INDEX(Players!$B$4:$B$503,MATCH(267,Players!$L$4:$L$503,0)),"")</f>
        <v/>
      </c>
      <c r="B270" s="1" t="str">
        <f>IFERROR(INDEX(Players!$C$4:$C$503,MATCH(267,Players!$L$4:$L$503,0)),"")</f>
        <v/>
      </c>
      <c r="C270" s="1" t="str">
        <f>IFERROR(INDEX(Players!$D$4:$D$503,MATCH(267,Players!$L$4:$L$503,0)),"")</f>
        <v/>
      </c>
      <c r="D270" s="7" t="str">
        <f>IFERROR(INDEX(Players!$E$4:$E$503,MATCH(267,Players!$L$4:$L$503,0)),"")</f>
        <v/>
      </c>
      <c r="E270" s="1" t="str">
        <f>IFERROR(INDEX(Players!$F$4:$F$503,MATCH(267,Players!$L$4:$L$503,0)),"")</f>
        <v/>
      </c>
      <c r="F270" s="1" t="str">
        <f>IFERROR(INDEX(Players!$I$4:$I$503,MATCH(267,Players!$L$4:$L$503,0)),"")</f>
        <v/>
      </c>
    </row>
    <row r="271" spans="1:6">
      <c r="A271" s="1" t="str">
        <f>IFERROR(INDEX(Players!$B$4:$B$503,MATCH(268,Players!$L$4:$L$503,0)),"")</f>
        <v/>
      </c>
      <c r="B271" s="1" t="str">
        <f>IFERROR(INDEX(Players!$C$4:$C$503,MATCH(268,Players!$L$4:$L$503,0)),"")</f>
        <v/>
      </c>
      <c r="C271" s="1" t="str">
        <f>IFERROR(INDEX(Players!$D$4:$D$503,MATCH(268,Players!$L$4:$L$503,0)),"")</f>
        <v/>
      </c>
      <c r="D271" s="7" t="str">
        <f>IFERROR(INDEX(Players!$E$4:$E$503,MATCH(268,Players!$L$4:$L$503,0)),"")</f>
        <v/>
      </c>
      <c r="E271" s="1" t="str">
        <f>IFERROR(INDEX(Players!$F$4:$F$503,MATCH(268,Players!$L$4:$L$503,0)),"")</f>
        <v/>
      </c>
      <c r="F271" s="1" t="str">
        <f>IFERROR(INDEX(Players!$I$4:$I$503,MATCH(268,Players!$L$4:$L$503,0)),"")</f>
        <v/>
      </c>
    </row>
    <row r="272" spans="1:6">
      <c r="A272" s="1" t="str">
        <f>IFERROR(INDEX(Players!$B$4:$B$503,MATCH(269,Players!$L$4:$L$503,0)),"")</f>
        <v/>
      </c>
      <c r="B272" s="1" t="str">
        <f>IFERROR(INDEX(Players!$C$4:$C$503,MATCH(269,Players!$L$4:$L$503,0)),"")</f>
        <v/>
      </c>
      <c r="C272" s="1" t="str">
        <f>IFERROR(INDEX(Players!$D$4:$D$503,MATCH(269,Players!$L$4:$L$503,0)),"")</f>
        <v/>
      </c>
      <c r="D272" s="7" t="str">
        <f>IFERROR(INDEX(Players!$E$4:$E$503,MATCH(269,Players!$L$4:$L$503,0)),"")</f>
        <v/>
      </c>
      <c r="E272" s="1" t="str">
        <f>IFERROR(INDEX(Players!$F$4:$F$503,MATCH(269,Players!$L$4:$L$503,0)),"")</f>
        <v/>
      </c>
      <c r="F272" s="1" t="str">
        <f>IFERROR(INDEX(Players!$I$4:$I$503,MATCH(269,Players!$L$4:$L$503,0)),"")</f>
        <v/>
      </c>
    </row>
    <row r="273" spans="1:6">
      <c r="A273" s="1" t="str">
        <f>IFERROR(INDEX(Players!$B$4:$B$503,MATCH(270,Players!$L$4:$L$503,0)),"")</f>
        <v/>
      </c>
      <c r="B273" s="1" t="str">
        <f>IFERROR(INDEX(Players!$C$4:$C$503,MATCH(270,Players!$L$4:$L$503,0)),"")</f>
        <v/>
      </c>
      <c r="C273" s="1" t="str">
        <f>IFERROR(INDEX(Players!$D$4:$D$503,MATCH(270,Players!$L$4:$L$503,0)),"")</f>
        <v/>
      </c>
      <c r="D273" s="7" t="str">
        <f>IFERROR(INDEX(Players!$E$4:$E$503,MATCH(270,Players!$L$4:$L$503,0)),"")</f>
        <v/>
      </c>
      <c r="E273" s="1" t="str">
        <f>IFERROR(INDEX(Players!$F$4:$F$503,MATCH(270,Players!$L$4:$L$503,0)),"")</f>
        <v/>
      </c>
      <c r="F273" s="1" t="str">
        <f>IFERROR(INDEX(Players!$I$4:$I$503,MATCH(270,Players!$L$4:$L$503,0)),"")</f>
        <v/>
      </c>
    </row>
    <row r="274" spans="1:6">
      <c r="A274" s="1" t="str">
        <f>IFERROR(INDEX(Players!$B$4:$B$503,MATCH(271,Players!$L$4:$L$503,0)),"")</f>
        <v/>
      </c>
      <c r="B274" s="1" t="str">
        <f>IFERROR(INDEX(Players!$C$4:$C$503,MATCH(271,Players!$L$4:$L$503,0)),"")</f>
        <v/>
      </c>
      <c r="C274" s="1" t="str">
        <f>IFERROR(INDEX(Players!$D$4:$D$503,MATCH(271,Players!$L$4:$L$503,0)),"")</f>
        <v/>
      </c>
      <c r="D274" s="7" t="str">
        <f>IFERROR(INDEX(Players!$E$4:$E$503,MATCH(271,Players!$L$4:$L$503,0)),"")</f>
        <v/>
      </c>
      <c r="E274" s="1" t="str">
        <f>IFERROR(INDEX(Players!$F$4:$F$503,MATCH(271,Players!$L$4:$L$503,0)),"")</f>
        <v/>
      </c>
      <c r="F274" s="1" t="str">
        <f>IFERROR(INDEX(Players!$I$4:$I$503,MATCH(271,Players!$L$4:$L$503,0)),"")</f>
        <v/>
      </c>
    </row>
    <row r="275" spans="1:6">
      <c r="A275" s="1" t="str">
        <f>IFERROR(INDEX(Players!$B$4:$B$503,MATCH(272,Players!$L$4:$L$503,0)),"")</f>
        <v/>
      </c>
      <c r="B275" s="1" t="str">
        <f>IFERROR(INDEX(Players!$C$4:$C$503,MATCH(272,Players!$L$4:$L$503,0)),"")</f>
        <v/>
      </c>
      <c r="C275" s="1" t="str">
        <f>IFERROR(INDEX(Players!$D$4:$D$503,MATCH(272,Players!$L$4:$L$503,0)),"")</f>
        <v/>
      </c>
      <c r="D275" s="7" t="str">
        <f>IFERROR(INDEX(Players!$E$4:$E$503,MATCH(272,Players!$L$4:$L$503,0)),"")</f>
        <v/>
      </c>
      <c r="E275" s="1" t="str">
        <f>IFERROR(INDEX(Players!$F$4:$F$503,MATCH(272,Players!$L$4:$L$503,0)),"")</f>
        <v/>
      </c>
      <c r="F275" s="1" t="str">
        <f>IFERROR(INDEX(Players!$I$4:$I$503,MATCH(272,Players!$L$4:$L$503,0)),"")</f>
        <v/>
      </c>
    </row>
    <row r="276" spans="1:6">
      <c r="A276" s="1" t="str">
        <f>IFERROR(INDEX(Players!$B$4:$B$503,MATCH(273,Players!$L$4:$L$503,0)),"")</f>
        <v/>
      </c>
      <c r="B276" s="1" t="str">
        <f>IFERROR(INDEX(Players!$C$4:$C$503,MATCH(273,Players!$L$4:$L$503,0)),"")</f>
        <v/>
      </c>
      <c r="C276" s="1" t="str">
        <f>IFERROR(INDEX(Players!$D$4:$D$503,MATCH(273,Players!$L$4:$L$503,0)),"")</f>
        <v/>
      </c>
      <c r="D276" s="7" t="str">
        <f>IFERROR(INDEX(Players!$E$4:$E$503,MATCH(273,Players!$L$4:$L$503,0)),"")</f>
        <v/>
      </c>
      <c r="E276" s="1" t="str">
        <f>IFERROR(INDEX(Players!$F$4:$F$503,MATCH(273,Players!$L$4:$L$503,0)),"")</f>
        <v/>
      </c>
      <c r="F276" s="1" t="str">
        <f>IFERROR(INDEX(Players!$I$4:$I$503,MATCH(273,Players!$L$4:$L$503,0)),"")</f>
        <v/>
      </c>
    </row>
    <row r="277" spans="1:6">
      <c r="A277" s="1" t="str">
        <f>IFERROR(INDEX(Players!$B$4:$B$503,MATCH(274,Players!$L$4:$L$503,0)),"")</f>
        <v/>
      </c>
      <c r="B277" s="1" t="str">
        <f>IFERROR(INDEX(Players!$C$4:$C$503,MATCH(274,Players!$L$4:$L$503,0)),"")</f>
        <v/>
      </c>
      <c r="C277" s="1" t="str">
        <f>IFERROR(INDEX(Players!$D$4:$D$503,MATCH(274,Players!$L$4:$L$503,0)),"")</f>
        <v/>
      </c>
      <c r="D277" s="7" t="str">
        <f>IFERROR(INDEX(Players!$E$4:$E$503,MATCH(274,Players!$L$4:$L$503,0)),"")</f>
        <v/>
      </c>
      <c r="E277" s="1" t="str">
        <f>IFERROR(INDEX(Players!$F$4:$F$503,MATCH(274,Players!$L$4:$L$503,0)),"")</f>
        <v/>
      </c>
      <c r="F277" s="1" t="str">
        <f>IFERROR(INDEX(Players!$I$4:$I$503,MATCH(274,Players!$L$4:$L$503,0)),"")</f>
        <v/>
      </c>
    </row>
    <row r="278" spans="1:6">
      <c r="A278" s="1" t="str">
        <f>IFERROR(INDEX(Players!$B$4:$B$503,MATCH(275,Players!$L$4:$L$503,0)),"")</f>
        <v/>
      </c>
      <c r="B278" s="1" t="str">
        <f>IFERROR(INDEX(Players!$C$4:$C$503,MATCH(275,Players!$L$4:$L$503,0)),"")</f>
        <v/>
      </c>
      <c r="C278" s="1" t="str">
        <f>IFERROR(INDEX(Players!$D$4:$D$503,MATCH(275,Players!$L$4:$L$503,0)),"")</f>
        <v/>
      </c>
      <c r="D278" s="7" t="str">
        <f>IFERROR(INDEX(Players!$E$4:$E$503,MATCH(275,Players!$L$4:$L$503,0)),"")</f>
        <v/>
      </c>
      <c r="E278" s="1" t="str">
        <f>IFERROR(INDEX(Players!$F$4:$F$503,MATCH(275,Players!$L$4:$L$503,0)),"")</f>
        <v/>
      </c>
      <c r="F278" s="1" t="str">
        <f>IFERROR(INDEX(Players!$I$4:$I$503,MATCH(275,Players!$L$4:$L$503,0)),"")</f>
        <v/>
      </c>
    </row>
    <row r="279" spans="1:6">
      <c r="A279" s="1" t="str">
        <f>IFERROR(INDEX(Players!$B$4:$B$503,MATCH(276,Players!$L$4:$L$503,0)),"")</f>
        <v/>
      </c>
      <c r="B279" s="1" t="str">
        <f>IFERROR(INDEX(Players!$C$4:$C$503,MATCH(276,Players!$L$4:$L$503,0)),"")</f>
        <v/>
      </c>
      <c r="C279" s="1" t="str">
        <f>IFERROR(INDEX(Players!$D$4:$D$503,MATCH(276,Players!$L$4:$L$503,0)),"")</f>
        <v/>
      </c>
      <c r="D279" s="7" t="str">
        <f>IFERROR(INDEX(Players!$E$4:$E$503,MATCH(276,Players!$L$4:$L$503,0)),"")</f>
        <v/>
      </c>
      <c r="E279" s="1" t="str">
        <f>IFERROR(INDEX(Players!$F$4:$F$503,MATCH(276,Players!$L$4:$L$503,0)),"")</f>
        <v/>
      </c>
      <c r="F279" s="1" t="str">
        <f>IFERROR(INDEX(Players!$I$4:$I$503,MATCH(276,Players!$L$4:$L$503,0)),"")</f>
        <v/>
      </c>
    </row>
    <row r="280" spans="1:6">
      <c r="A280" s="1" t="str">
        <f>IFERROR(INDEX(Players!$B$4:$B$503,MATCH(277,Players!$L$4:$L$503,0)),"")</f>
        <v/>
      </c>
      <c r="B280" s="1" t="str">
        <f>IFERROR(INDEX(Players!$C$4:$C$503,MATCH(277,Players!$L$4:$L$503,0)),"")</f>
        <v/>
      </c>
      <c r="C280" s="1" t="str">
        <f>IFERROR(INDEX(Players!$D$4:$D$503,MATCH(277,Players!$L$4:$L$503,0)),"")</f>
        <v/>
      </c>
      <c r="D280" s="7" t="str">
        <f>IFERROR(INDEX(Players!$E$4:$E$503,MATCH(277,Players!$L$4:$L$503,0)),"")</f>
        <v/>
      </c>
      <c r="E280" s="1" t="str">
        <f>IFERROR(INDEX(Players!$F$4:$F$503,MATCH(277,Players!$L$4:$L$503,0)),"")</f>
        <v/>
      </c>
      <c r="F280" s="1" t="str">
        <f>IFERROR(INDEX(Players!$I$4:$I$503,MATCH(277,Players!$L$4:$L$503,0)),"")</f>
        <v/>
      </c>
    </row>
    <row r="281" spans="1:6">
      <c r="A281" s="1" t="str">
        <f>IFERROR(INDEX(Players!$B$4:$B$503,MATCH(278,Players!$L$4:$L$503,0)),"")</f>
        <v/>
      </c>
      <c r="B281" s="1" t="str">
        <f>IFERROR(INDEX(Players!$C$4:$C$503,MATCH(278,Players!$L$4:$L$503,0)),"")</f>
        <v/>
      </c>
      <c r="C281" s="1" t="str">
        <f>IFERROR(INDEX(Players!$D$4:$D$503,MATCH(278,Players!$L$4:$L$503,0)),"")</f>
        <v/>
      </c>
      <c r="D281" s="7" t="str">
        <f>IFERROR(INDEX(Players!$E$4:$E$503,MATCH(278,Players!$L$4:$L$503,0)),"")</f>
        <v/>
      </c>
      <c r="E281" s="1" t="str">
        <f>IFERROR(INDEX(Players!$F$4:$F$503,MATCH(278,Players!$L$4:$L$503,0)),"")</f>
        <v/>
      </c>
      <c r="F281" s="1" t="str">
        <f>IFERROR(INDEX(Players!$I$4:$I$503,MATCH(278,Players!$L$4:$L$503,0)),"")</f>
        <v/>
      </c>
    </row>
    <row r="282" spans="1:6">
      <c r="A282" s="1" t="str">
        <f>IFERROR(INDEX(Players!$B$4:$B$503,MATCH(279,Players!$L$4:$L$503,0)),"")</f>
        <v/>
      </c>
      <c r="B282" s="1" t="str">
        <f>IFERROR(INDEX(Players!$C$4:$C$503,MATCH(279,Players!$L$4:$L$503,0)),"")</f>
        <v/>
      </c>
      <c r="C282" s="1" t="str">
        <f>IFERROR(INDEX(Players!$D$4:$D$503,MATCH(279,Players!$L$4:$L$503,0)),"")</f>
        <v/>
      </c>
      <c r="D282" s="7" t="str">
        <f>IFERROR(INDEX(Players!$E$4:$E$503,MATCH(279,Players!$L$4:$L$503,0)),"")</f>
        <v/>
      </c>
      <c r="E282" s="1" t="str">
        <f>IFERROR(INDEX(Players!$F$4:$F$503,MATCH(279,Players!$L$4:$L$503,0)),"")</f>
        <v/>
      </c>
      <c r="F282" s="1" t="str">
        <f>IFERROR(INDEX(Players!$I$4:$I$503,MATCH(279,Players!$L$4:$L$503,0)),"")</f>
        <v/>
      </c>
    </row>
    <row r="283" spans="1:6">
      <c r="A283" s="1" t="str">
        <f>IFERROR(INDEX(Players!$B$4:$B$503,MATCH(280,Players!$L$4:$L$503,0)),"")</f>
        <v/>
      </c>
      <c r="B283" s="1" t="str">
        <f>IFERROR(INDEX(Players!$C$4:$C$503,MATCH(280,Players!$L$4:$L$503,0)),"")</f>
        <v/>
      </c>
      <c r="C283" s="1" t="str">
        <f>IFERROR(INDEX(Players!$D$4:$D$503,MATCH(280,Players!$L$4:$L$503,0)),"")</f>
        <v/>
      </c>
      <c r="D283" s="7" t="str">
        <f>IFERROR(INDEX(Players!$E$4:$E$503,MATCH(280,Players!$L$4:$L$503,0)),"")</f>
        <v/>
      </c>
      <c r="E283" s="1" t="str">
        <f>IFERROR(INDEX(Players!$F$4:$F$503,MATCH(280,Players!$L$4:$L$503,0)),"")</f>
        <v/>
      </c>
      <c r="F283" s="1" t="str">
        <f>IFERROR(INDEX(Players!$I$4:$I$503,MATCH(280,Players!$L$4:$L$503,0)),"")</f>
        <v/>
      </c>
    </row>
    <row r="284" spans="1:6">
      <c r="A284" s="1" t="str">
        <f>IFERROR(INDEX(Players!$B$4:$B$503,MATCH(281,Players!$L$4:$L$503,0)),"")</f>
        <v/>
      </c>
      <c r="B284" s="1" t="str">
        <f>IFERROR(INDEX(Players!$C$4:$C$503,MATCH(281,Players!$L$4:$L$503,0)),"")</f>
        <v/>
      </c>
      <c r="C284" s="1" t="str">
        <f>IFERROR(INDEX(Players!$D$4:$D$503,MATCH(281,Players!$L$4:$L$503,0)),"")</f>
        <v/>
      </c>
      <c r="D284" s="7" t="str">
        <f>IFERROR(INDEX(Players!$E$4:$E$503,MATCH(281,Players!$L$4:$L$503,0)),"")</f>
        <v/>
      </c>
      <c r="E284" s="1" t="str">
        <f>IFERROR(INDEX(Players!$F$4:$F$503,MATCH(281,Players!$L$4:$L$503,0)),"")</f>
        <v/>
      </c>
      <c r="F284" s="1" t="str">
        <f>IFERROR(INDEX(Players!$I$4:$I$503,MATCH(281,Players!$L$4:$L$503,0)),"")</f>
        <v/>
      </c>
    </row>
    <row r="285" spans="1:6">
      <c r="A285" s="1" t="str">
        <f>IFERROR(INDEX(Players!$B$4:$B$503,MATCH(282,Players!$L$4:$L$503,0)),"")</f>
        <v/>
      </c>
      <c r="B285" s="1" t="str">
        <f>IFERROR(INDEX(Players!$C$4:$C$503,MATCH(282,Players!$L$4:$L$503,0)),"")</f>
        <v/>
      </c>
      <c r="C285" s="1" t="str">
        <f>IFERROR(INDEX(Players!$D$4:$D$503,MATCH(282,Players!$L$4:$L$503,0)),"")</f>
        <v/>
      </c>
      <c r="D285" s="7" t="str">
        <f>IFERROR(INDEX(Players!$E$4:$E$503,MATCH(282,Players!$L$4:$L$503,0)),"")</f>
        <v/>
      </c>
      <c r="E285" s="1" t="str">
        <f>IFERROR(INDEX(Players!$F$4:$F$503,MATCH(282,Players!$L$4:$L$503,0)),"")</f>
        <v/>
      </c>
      <c r="F285" s="1" t="str">
        <f>IFERROR(INDEX(Players!$I$4:$I$503,MATCH(282,Players!$L$4:$L$503,0)),"")</f>
        <v/>
      </c>
    </row>
    <row r="286" spans="1:6">
      <c r="A286" s="1" t="str">
        <f>IFERROR(INDEX(Players!$B$4:$B$503,MATCH(283,Players!$L$4:$L$503,0)),"")</f>
        <v/>
      </c>
      <c r="B286" s="1" t="str">
        <f>IFERROR(INDEX(Players!$C$4:$C$503,MATCH(283,Players!$L$4:$L$503,0)),"")</f>
        <v/>
      </c>
      <c r="C286" s="1" t="str">
        <f>IFERROR(INDEX(Players!$D$4:$D$503,MATCH(283,Players!$L$4:$L$503,0)),"")</f>
        <v/>
      </c>
      <c r="D286" s="7" t="str">
        <f>IFERROR(INDEX(Players!$E$4:$E$503,MATCH(283,Players!$L$4:$L$503,0)),"")</f>
        <v/>
      </c>
      <c r="E286" s="1" t="str">
        <f>IFERROR(INDEX(Players!$F$4:$F$503,MATCH(283,Players!$L$4:$L$503,0)),"")</f>
        <v/>
      </c>
      <c r="F286" s="1" t="str">
        <f>IFERROR(INDEX(Players!$I$4:$I$503,MATCH(283,Players!$L$4:$L$503,0)),"")</f>
        <v/>
      </c>
    </row>
    <row r="287" spans="1:6">
      <c r="A287" s="1" t="str">
        <f>IFERROR(INDEX(Players!$B$4:$B$503,MATCH(284,Players!$L$4:$L$503,0)),"")</f>
        <v/>
      </c>
      <c r="B287" s="1" t="str">
        <f>IFERROR(INDEX(Players!$C$4:$C$503,MATCH(284,Players!$L$4:$L$503,0)),"")</f>
        <v/>
      </c>
      <c r="C287" s="1" t="str">
        <f>IFERROR(INDEX(Players!$D$4:$D$503,MATCH(284,Players!$L$4:$L$503,0)),"")</f>
        <v/>
      </c>
      <c r="D287" s="7" t="str">
        <f>IFERROR(INDEX(Players!$E$4:$E$503,MATCH(284,Players!$L$4:$L$503,0)),"")</f>
        <v/>
      </c>
      <c r="E287" s="1" t="str">
        <f>IFERROR(INDEX(Players!$F$4:$F$503,MATCH(284,Players!$L$4:$L$503,0)),"")</f>
        <v/>
      </c>
      <c r="F287" s="1" t="str">
        <f>IFERROR(INDEX(Players!$I$4:$I$503,MATCH(284,Players!$L$4:$L$503,0)),"")</f>
        <v/>
      </c>
    </row>
    <row r="288" spans="1:6">
      <c r="A288" s="1" t="str">
        <f>IFERROR(INDEX(Players!$B$4:$B$503,MATCH(285,Players!$L$4:$L$503,0)),"")</f>
        <v/>
      </c>
      <c r="B288" s="1" t="str">
        <f>IFERROR(INDEX(Players!$C$4:$C$503,MATCH(285,Players!$L$4:$L$503,0)),"")</f>
        <v/>
      </c>
      <c r="C288" s="1" t="str">
        <f>IFERROR(INDEX(Players!$D$4:$D$503,MATCH(285,Players!$L$4:$L$503,0)),"")</f>
        <v/>
      </c>
      <c r="D288" s="7" t="str">
        <f>IFERROR(INDEX(Players!$E$4:$E$503,MATCH(285,Players!$L$4:$L$503,0)),"")</f>
        <v/>
      </c>
      <c r="E288" s="1" t="str">
        <f>IFERROR(INDEX(Players!$F$4:$F$503,MATCH(285,Players!$L$4:$L$503,0)),"")</f>
        <v/>
      </c>
      <c r="F288" s="1" t="str">
        <f>IFERROR(INDEX(Players!$I$4:$I$503,MATCH(285,Players!$L$4:$L$503,0)),"")</f>
        <v/>
      </c>
    </row>
    <row r="289" spans="1:6">
      <c r="A289" s="1" t="str">
        <f>IFERROR(INDEX(Players!$B$4:$B$503,MATCH(286,Players!$L$4:$L$503,0)),"")</f>
        <v/>
      </c>
      <c r="B289" s="1" t="str">
        <f>IFERROR(INDEX(Players!$C$4:$C$503,MATCH(286,Players!$L$4:$L$503,0)),"")</f>
        <v/>
      </c>
      <c r="C289" s="1" t="str">
        <f>IFERROR(INDEX(Players!$D$4:$D$503,MATCH(286,Players!$L$4:$L$503,0)),"")</f>
        <v/>
      </c>
      <c r="D289" s="7" t="str">
        <f>IFERROR(INDEX(Players!$E$4:$E$503,MATCH(286,Players!$L$4:$L$503,0)),"")</f>
        <v/>
      </c>
      <c r="E289" s="1" t="str">
        <f>IFERROR(INDEX(Players!$F$4:$F$503,MATCH(286,Players!$L$4:$L$503,0)),"")</f>
        <v/>
      </c>
      <c r="F289" s="1" t="str">
        <f>IFERROR(INDEX(Players!$I$4:$I$503,MATCH(286,Players!$L$4:$L$503,0)),"")</f>
        <v/>
      </c>
    </row>
    <row r="290" spans="1:6">
      <c r="A290" s="1" t="str">
        <f>IFERROR(INDEX(Players!$B$4:$B$503,MATCH(287,Players!$L$4:$L$503,0)),"")</f>
        <v/>
      </c>
      <c r="B290" s="1" t="str">
        <f>IFERROR(INDEX(Players!$C$4:$C$503,MATCH(287,Players!$L$4:$L$503,0)),"")</f>
        <v/>
      </c>
      <c r="C290" s="1" t="str">
        <f>IFERROR(INDEX(Players!$D$4:$D$503,MATCH(287,Players!$L$4:$L$503,0)),"")</f>
        <v/>
      </c>
      <c r="D290" s="7" t="str">
        <f>IFERROR(INDEX(Players!$E$4:$E$503,MATCH(287,Players!$L$4:$L$503,0)),"")</f>
        <v/>
      </c>
      <c r="E290" s="1" t="str">
        <f>IFERROR(INDEX(Players!$F$4:$F$503,MATCH(287,Players!$L$4:$L$503,0)),"")</f>
        <v/>
      </c>
      <c r="F290" s="1" t="str">
        <f>IFERROR(INDEX(Players!$I$4:$I$503,MATCH(287,Players!$L$4:$L$503,0)),"")</f>
        <v/>
      </c>
    </row>
    <row r="291" spans="1:6">
      <c r="A291" s="1" t="str">
        <f>IFERROR(INDEX(Players!$B$4:$B$503,MATCH(288,Players!$L$4:$L$503,0)),"")</f>
        <v/>
      </c>
      <c r="B291" s="1" t="str">
        <f>IFERROR(INDEX(Players!$C$4:$C$503,MATCH(288,Players!$L$4:$L$503,0)),"")</f>
        <v/>
      </c>
      <c r="C291" s="1" t="str">
        <f>IFERROR(INDEX(Players!$D$4:$D$503,MATCH(288,Players!$L$4:$L$503,0)),"")</f>
        <v/>
      </c>
      <c r="D291" s="7" t="str">
        <f>IFERROR(INDEX(Players!$E$4:$E$503,MATCH(288,Players!$L$4:$L$503,0)),"")</f>
        <v/>
      </c>
      <c r="E291" s="1" t="str">
        <f>IFERROR(INDEX(Players!$F$4:$F$503,MATCH(288,Players!$L$4:$L$503,0)),"")</f>
        <v/>
      </c>
      <c r="F291" s="1" t="str">
        <f>IFERROR(INDEX(Players!$I$4:$I$503,MATCH(288,Players!$L$4:$L$503,0)),"")</f>
        <v/>
      </c>
    </row>
    <row r="292" spans="1:6">
      <c r="A292" s="1" t="str">
        <f>IFERROR(INDEX(Players!$B$4:$B$503,MATCH(289,Players!$L$4:$L$503,0)),"")</f>
        <v/>
      </c>
      <c r="B292" s="1" t="str">
        <f>IFERROR(INDEX(Players!$C$4:$C$503,MATCH(289,Players!$L$4:$L$503,0)),"")</f>
        <v/>
      </c>
      <c r="C292" s="1" t="str">
        <f>IFERROR(INDEX(Players!$D$4:$D$503,MATCH(289,Players!$L$4:$L$503,0)),"")</f>
        <v/>
      </c>
      <c r="D292" s="7" t="str">
        <f>IFERROR(INDEX(Players!$E$4:$E$503,MATCH(289,Players!$L$4:$L$503,0)),"")</f>
        <v/>
      </c>
      <c r="E292" s="1" t="str">
        <f>IFERROR(INDEX(Players!$F$4:$F$503,MATCH(289,Players!$L$4:$L$503,0)),"")</f>
        <v/>
      </c>
      <c r="F292" s="1" t="str">
        <f>IFERROR(INDEX(Players!$I$4:$I$503,MATCH(289,Players!$L$4:$L$503,0)),"")</f>
        <v/>
      </c>
    </row>
    <row r="293" spans="1:6">
      <c r="A293" s="1" t="str">
        <f>IFERROR(INDEX(Players!$B$4:$B$503,MATCH(290,Players!$L$4:$L$503,0)),"")</f>
        <v/>
      </c>
      <c r="B293" s="1" t="str">
        <f>IFERROR(INDEX(Players!$C$4:$C$503,MATCH(290,Players!$L$4:$L$503,0)),"")</f>
        <v/>
      </c>
      <c r="C293" s="1" t="str">
        <f>IFERROR(INDEX(Players!$D$4:$D$503,MATCH(290,Players!$L$4:$L$503,0)),"")</f>
        <v/>
      </c>
      <c r="D293" s="7" t="str">
        <f>IFERROR(INDEX(Players!$E$4:$E$503,MATCH(290,Players!$L$4:$L$503,0)),"")</f>
        <v/>
      </c>
      <c r="E293" s="1" t="str">
        <f>IFERROR(INDEX(Players!$F$4:$F$503,MATCH(290,Players!$L$4:$L$503,0)),"")</f>
        <v/>
      </c>
      <c r="F293" s="1" t="str">
        <f>IFERROR(INDEX(Players!$I$4:$I$503,MATCH(290,Players!$L$4:$L$503,0)),"")</f>
        <v/>
      </c>
    </row>
    <row r="294" spans="1:6">
      <c r="A294" s="1" t="str">
        <f>IFERROR(INDEX(Players!$B$4:$B$503,MATCH(291,Players!$L$4:$L$503,0)),"")</f>
        <v/>
      </c>
      <c r="B294" s="1" t="str">
        <f>IFERROR(INDEX(Players!$C$4:$C$503,MATCH(291,Players!$L$4:$L$503,0)),"")</f>
        <v/>
      </c>
      <c r="C294" s="1" t="str">
        <f>IFERROR(INDEX(Players!$D$4:$D$503,MATCH(291,Players!$L$4:$L$503,0)),"")</f>
        <v/>
      </c>
      <c r="D294" s="7" t="str">
        <f>IFERROR(INDEX(Players!$E$4:$E$503,MATCH(291,Players!$L$4:$L$503,0)),"")</f>
        <v/>
      </c>
      <c r="E294" s="1" t="str">
        <f>IFERROR(INDEX(Players!$F$4:$F$503,MATCH(291,Players!$L$4:$L$503,0)),"")</f>
        <v/>
      </c>
      <c r="F294" s="1" t="str">
        <f>IFERROR(INDEX(Players!$I$4:$I$503,MATCH(291,Players!$L$4:$L$503,0)),"")</f>
        <v/>
      </c>
    </row>
    <row r="295" spans="1:6">
      <c r="A295" s="1" t="str">
        <f>IFERROR(INDEX(Players!$B$4:$B$503,MATCH(292,Players!$L$4:$L$503,0)),"")</f>
        <v/>
      </c>
      <c r="B295" s="1" t="str">
        <f>IFERROR(INDEX(Players!$C$4:$C$503,MATCH(292,Players!$L$4:$L$503,0)),"")</f>
        <v/>
      </c>
      <c r="C295" s="1" t="str">
        <f>IFERROR(INDEX(Players!$D$4:$D$503,MATCH(292,Players!$L$4:$L$503,0)),"")</f>
        <v/>
      </c>
      <c r="D295" s="7" t="str">
        <f>IFERROR(INDEX(Players!$E$4:$E$503,MATCH(292,Players!$L$4:$L$503,0)),"")</f>
        <v/>
      </c>
      <c r="E295" s="1" t="str">
        <f>IFERROR(INDEX(Players!$F$4:$F$503,MATCH(292,Players!$L$4:$L$503,0)),"")</f>
        <v/>
      </c>
      <c r="F295" s="1" t="str">
        <f>IFERROR(INDEX(Players!$I$4:$I$503,MATCH(292,Players!$L$4:$L$503,0)),"")</f>
        <v/>
      </c>
    </row>
    <row r="296" spans="1:6">
      <c r="A296" s="1" t="str">
        <f>IFERROR(INDEX(Players!$B$4:$B$503,MATCH(293,Players!$L$4:$L$503,0)),"")</f>
        <v/>
      </c>
      <c r="B296" s="1" t="str">
        <f>IFERROR(INDEX(Players!$C$4:$C$503,MATCH(293,Players!$L$4:$L$503,0)),"")</f>
        <v/>
      </c>
      <c r="C296" s="1" t="str">
        <f>IFERROR(INDEX(Players!$D$4:$D$503,MATCH(293,Players!$L$4:$L$503,0)),"")</f>
        <v/>
      </c>
      <c r="D296" s="7" t="str">
        <f>IFERROR(INDEX(Players!$E$4:$E$503,MATCH(293,Players!$L$4:$L$503,0)),"")</f>
        <v/>
      </c>
      <c r="E296" s="1" t="str">
        <f>IFERROR(INDEX(Players!$F$4:$F$503,MATCH(293,Players!$L$4:$L$503,0)),"")</f>
        <v/>
      </c>
      <c r="F296" s="1" t="str">
        <f>IFERROR(INDEX(Players!$I$4:$I$503,MATCH(293,Players!$L$4:$L$503,0)),"")</f>
        <v/>
      </c>
    </row>
    <row r="297" spans="1:6">
      <c r="A297" s="1" t="str">
        <f>IFERROR(INDEX(Players!$B$4:$B$503,MATCH(294,Players!$L$4:$L$503,0)),"")</f>
        <v/>
      </c>
      <c r="B297" s="1" t="str">
        <f>IFERROR(INDEX(Players!$C$4:$C$503,MATCH(294,Players!$L$4:$L$503,0)),"")</f>
        <v/>
      </c>
      <c r="C297" s="1" t="str">
        <f>IFERROR(INDEX(Players!$D$4:$D$503,MATCH(294,Players!$L$4:$L$503,0)),"")</f>
        <v/>
      </c>
      <c r="D297" s="7" t="str">
        <f>IFERROR(INDEX(Players!$E$4:$E$503,MATCH(294,Players!$L$4:$L$503,0)),"")</f>
        <v/>
      </c>
      <c r="E297" s="1" t="str">
        <f>IFERROR(INDEX(Players!$F$4:$F$503,MATCH(294,Players!$L$4:$L$503,0)),"")</f>
        <v/>
      </c>
      <c r="F297" s="1" t="str">
        <f>IFERROR(INDEX(Players!$I$4:$I$503,MATCH(294,Players!$L$4:$L$503,0)),"")</f>
        <v/>
      </c>
    </row>
    <row r="298" spans="1:6">
      <c r="A298" s="1" t="str">
        <f>IFERROR(INDEX(Players!$B$4:$B$503,MATCH(295,Players!$L$4:$L$503,0)),"")</f>
        <v/>
      </c>
      <c r="B298" s="1" t="str">
        <f>IFERROR(INDEX(Players!$C$4:$C$503,MATCH(295,Players!$L$4:$L$503,0)),"")</f>
        <v/>
      </c>
      <c r="C298" s="1" t="str">
        <f>IFERROR(INDEX(Players!$D$4:$D$503,MATCH(295,Players!$L$4:$L$503,0)),"")</f>
        <v/>
      </c>
      <c r="D298" s="7" t="str">
        <f>IFERROR(INDEX(Players!$E$4:$E$503,MATCH(295,Players!$L$4:$L$503,0)),"")</f>
        <v/>
      </c>
      <c r="E298" s="1" t="str">
        <f>IFERROR(INDEX(Players!$F$4:$F$503,MATCH(295,Players!$L$4:$L$503,0)),"")</f>
        <v/>
      </c>
      <c r="F298" s="1" t="str">
        <f>IFERROR(INDEX(Players!$I$4:$I$503,MATCH(295,Players!$L$4:$L$503,0)),"")</f>
        <v/>
      </c>
    </row>
    <row r="299" spans="1:6">
      <c r="A299" s="1" t="str">
        <f>IFERROR(INDEX(Players!$B$4:$B$503,MATCH(296,Players!$L$4:$L$503,0)),"")</f>
        <v/>
      </c>
      <c r="B299" s="1" t="str">
        <f>IFERROR(INDEX(Players!$C$4:$C$503,MATCH(296,Players!$L$4:$L$503,0)),"")</f>
        <v/>
      </c>
      <c r="C299" s="1" t="str">
        <f>IFERROR(INDEX(Players!$D$4:$D$503,MATCH(296,Players!$L$4:$L$503,0)),"")</f>
        <v/>
      </c>
      <c r="D299" s="7" t="str">
        <f>IFERROR(INDEX(Players!$E$4:$E$503,MATCH(296,Players!$L$4:$L$503,0)),"")</f>
        <v/>
      </c>
      <c r="E299" s="1" t="str">
        <f>IFERROR(INDEX(Players!$F$4:$F$503,MATCH(296,Players!$L$4:$L$503,0)),"")</f>
        <v/>
      </c>
      <c r="F299" s="1" t="str">
        <f>IFERROR(INDEX(Players!$I$4:$I$503,MATCH(296,Players!$L$4:$L$503,0)),"")</f>
        <v/>
      </c>
    </row>
    <row r="300" spans="1:6">
      <c r="A300" s="1" t="str">
        <f>IFERROR(INDEX(Players!$B$4:$B$503,MATCH(297,Players!$L$4:$L$503,0)),"")</f>
        <v/>
      </c>
      <c r="B300" s="1" t="str">
        <f>IFERROR(INDEX(Players!$C$4:$C$503,MATCH(297,Players!$L$4:$L$503,0)),"")</f>
        <v/>
      </c>
      <c r="C300" s="1" t="str">
        <f>IFERROR(INDEX(Players!$D$4:$D$503,MATCH(297,Players!$L$4:$L$503,0)),"")</f>
        <v/>
      </c>
      <c r="D300" s="7" t="str">
        <f>IFERROR(INDEX(Players!$E$4:$E$503,MATCH(297,Players!$L$4:$L$503,0)),"")</f>
        <v/>
      </c>
      <c r="E300" s="1" t="str">
        <f>IFERROR(INDEX(Players!$F$4:$F$503,MATCH(297,Players!$L$4:$L$503,0)),"")</f>
        <v/>
      </c>
      <c r="F300" s="1" t="str">
        <f>IFERROR(INDEX(Players!$I$4:$I$503,MATCH(297,Players!$L$4:$L$503,0)),"")</f>
        <v/>
      </c>
    </row>
    <row r="301" spans="1:6">
      <c r="A301" s="1" t="str">
        <f>IFERROR(INDEX(Players!$B$4:$B$503,MATCH(298,Players!$L$4:$L$503,0)),"")</f>
        <v/>
      </c>
      <c r="B301" s="1" t="str">
        <f>IFERROR(INDEX(Players!$C$4:$C$503,MATCH(298,Players!$L$4:$L$503,0)),"")</f>
        <v/>
      </c>
      <c r="C301" s="1" t="str">
        <f>IFERROR(INDEX(Players!$D$4:$D$503,MATCH(298,Players!$L$4:$L$503,0)),"")</f>
        <v/>
      </c>
      <c r="D301" s="7" t="str">
        <f>IFERROR(INDEX(Players!$E$4:$E$503,MATCH(298,Players!$L$4:$L$503,0)),"")</f>
        <v/>
      </c>
      <c r="E301" s="1" t="str">
        <f>IFERROR(INDEX(Players!$F$4:$F$503,MATCH(298,Players!$L$4:$L$503,0)),"")</f>
        <v/>
      </c>
      <c r="F301" s="1" t="str">
        <f>IFERROR(INDEX(Players!$I$4:$I$503,MATCH(298,Players!$L$4:$L$503,0)),"")</f>
        <v/>
      </c>
    </row>
    <row r="302" spans="1:6">
      <c r="A302" s="1" t="str">
        <f>IFERROR(INDEX(Players!$B$4:$B$503,MATCH(299,Players!$L$4:$L$503,0)),"")</f>
        <v/>
      </c>
      <c r="B302" s="1" t="str">
        <f>IFERROR(INDEX(Players!$C$4:$C$503,MATCH(299,Players!$L$4:$L$503,0)),"")</f>
        <v/>
      </c>
      <c r="C302" s="1" t="str">
        <f>IFERROR(INDEX(Players!$D$4:$D$503,MATCH(299,Players!$L$4:$L$503,0)),"")</f>
        <v/>
      </c>
      <c r="D302" s="7" t="str">
        <f>IFERROR(INDEX(Players!$E$4:$E$503,MATCH(299,Players!$L$4:$L$503,0)),"")</f>
        <v/>
      </c>
      <c r="E302" s="1" t="str">
        <f>IFERROR(INDEX(Players!$F$4:$F$503,MATCH(299,Players!$L$4:$L$503,0)),"")</f>
        <v/>
      </c>
      <c r="F302" s="1" t="str">
        <f>IFERROR(INDEX(Players!$I$4:$I$503,MATCH(299,Players!$L$4:$L$503,0)),"")</f>
        <v/>
      </c>
    </row>
    <row r="303" spans="1:6">
      <c r="A303" s="1" t="str">
        <f>IFERROR(INDEX(Players!$B$4:$B$503,MATCH(300,Players!$L$4:$L$503,0)),"")</f>
        <v/>
      </c>
      <c r="B303" s="1" t="str">
        <f>IFERROR(INDEX(Players!$C$4:$C$503,MATCH(300,Players!$L$4:$L$503,0)),"")</f>
        <v/>
      </c>
      <c r="C303" s="1" t="str">
        <f>IFERROR(INDEX(Players!$D$4:$D$503,MATCH(300,Players!$L$4:$L$503,0)),"")</f>
        <v/>
      </c>
      <c r="D303" s="7" t="str">
        <f>IFERROR(INDEX(Players!$E$4:$E$503,MATCH(300,Players!$L$4:$L$503,0)),"")</f>
        <v/>
      </c>
      <c r="E303" s="1" t="str">
        <f>IFERROR(INDEX(Players!$F$4:$F$503,MATCH(300,Players!$L$4:$L$503,0)),"")</f>
        <v/>
      </c>
      <c r="F303" s="1" t="str">
        <f>IFERROR(INDEX(Players!$I$4:$I$503,MATCH(300,Players!$L$4:$L$503,0)),"")</f>
        <v/>
      </c>
    </row>
    <row r="304" spans="1:6">
      <c r="A304" s="1" t="str">
        <f>IFERROR(INDEX(Players!$B$4:$B$503,MATCH(301,Players!$L$4:$L$503,0)),"")</f>
        <v/>
      </c>
      <c r="B304" s="1" t="str">
        <f>IFERROR(INDEX(Players!$C$4:$C$503,MATCH(301,Players!$L$4:$L$503,0)),"")</f>
        <v/>
      </c>
      <c r="C304" s="1" t="str">
        <f>IFERROR(INDEX(Players!$D$4:$D$503,MATCH(301,Players!$L$4:$L$503,0)),"")</f>
        <v/>
      </c>
      <c r="D304" s="7" t="str">
        <f>IFERROR(INDEX(Players!$E$4:$E$503,MATCH(301,Players!$L$4:$L$503,0)),"")</f>
        <v/>
      </c>
      <c r="E304" s="1" t="str">
        <f>IFERROR(INDEX(Players!$F$4:$F$503,MATCH(301,Players!$L$4:$L$503,0)),"")</f>
        <v/>
      </c>
      <c r="F304" s="1" t="str">
        <f>IFERROR(INDEX(Players!$I$4:$I$503,MATCH(301,Players!$L$4:$L$503,0)),"")</f>
        <v/>
      </c>
    </row>
    <row r="305" spans="1:6">
      <c r="A305" s="1" t="str">
        <f>IFERROR(INDEX(Players!$B$4:$B$503,MATCH(302,Players!$L$4:$L$503,0)),"")</f>
        <v/>
      </c>
      <c r="B305" s="1" t="str">
        <f>IFERROR(INDEX(Players!$C$4:$C$503,MATCH(302,Players!$L$4:$L$503,0)),"")</f>
        <v/>
      </c>
      <c r="C305" s="1" t="str">
        <f>IFERROR(INDEX(Players!$D$4:$D$503,MATCH(302,Players!$L$4:$L$503,0)),"")</f>
        <v/>
      </c>
      <c r="D305" s="7" t="str">
        <f>IFERROR(INDEX(Players!$E$4:$E$503,MATCH(302,Players!$L$4:$L$503,0)),"")</f>
        <v/>
      </c>
      <c r="E305" s="1" t="str">
        <f>IFERROR(INDEX(Players!$F$4:$F$503,MATCH(302,Players!$L$4:$L$503,0)),"")</f>
        <v/>
      </c>
      <c r="F305" s="1" t="str">
        <f>IFERROR(INDEX(Players!$I$4:$I$503,MATCH(302,Players!$L$4:$L$503,0)),"")</f>
        <v/>
      </c>
    </row>
    <row r="306" spans="1:6">
      <c r="A306" s="1" t="str">
        <f>IFERROR(INDEX(Players!$B$4:$B$503,MATCH(303,Players!$L$4:$L$503,0)),"")</f>
        <v/>
      </c>
      <c r="B306" s="1" t="str">
        <f>IFERROR(INDEX(Players!$C$4:$C$503,MATCH(303,Players!$L$4:$L$503,0)),"")</f>
        <v/>
      </c>
      <c r="C306" s="1" t="str">
        <f>IFERROR(INDEX(Players!$D$4:$D$503,MATCH(303,Players!$L$4:$L$503,0)),"")</f>
        <v/>
      </c>
      <c r="D306" s="7" t="str">
        <f>IFERROR(INDEX(Players!$E$4:$E$503,MATCH(303,Players!$L$4:$L$503,0)),"")</f>
        <v/>
      </c>
      <c r="E306" s="1" t="str">
        <f>IFERROR(INDEX(Players!$F$4:$F$503,MATCH(303,Players!$L$4:$L$503,0)),"")</f>
        <v/>
      </c>
      <c r="F306" s="1" t="str">
        <f>IFERROR(INDEX(Players!$I$4:$I$503,MATCH(303,Players!$L$4:$L$503,0)),"")</f>
        <v/>
      </c>
    </row>
    <row r="307" spans="1:6">
      <c r="A307" s="1" t="str">
        <f>IFERROR(INDEX(Players!$B$4:$B$503,MATCH(304,Players!$L$4:$L$503,0)),"")</f>
        <v/>
      </c>
      <c r="B307" s="1" t="str">
        <f>IFERROR(INDEX(Players!$C$4:$C$503,MATCH(304,Players!$L$4:$L$503,0)),"")</f>
        <v/>
      </c>
      <c r="C307" s="1" t="str">
        <f>IFERROR(INDEX(Players!$D$4:$D$503,MATCH(304,Players!$L$4:$L$503,0)),"")</f>
        <v/>
      </c>
      <c r="D307" s="7" t="str">
        <f>IFERROR(INDEX(Players!$E$4:$E$503,MATCH(304,Players!$L$4:$L$503,0)),"")</f>
        <v/>
      </c>
      <c r="E307" s="1" t="str">
        <f>IFERROR(INDEX(Players!$F$4:$F$503,MATCH(304,Players!$L$4:$L$503,0)),"")</f>
        <v/>
      </c>
      <c r="F307" s="1" t="str">
        <f>IFERROR(INDEX(Players!$I$4:$I$503,MATCH(304,Players!$L$4:$L$503,0)),"")</f>
        <v/>
      </c>
    </row>
    <row r="308" spans="1:6">
      <c r="A308" s="1" t="str">
        <f>IFERROR(INDEX(Players!$B$4:$B$503,MATCH(305,Players!$L$4:$L$503,0)),"")</f>
        <v/>
      </c>
      <c r="B308" s="1" t="str">
        <f>IFERROR(INDEX(Players!$C$4:$C$503,MATCH(305,Players!$L$4:$L$503,0)),"")</f>
        <v/>
      </c>
      <c r="C308" s="1" t="str">
        <f>IFERROR(INDEX(Players!$D$4:$D$503,MATCH(305,Players!$L$4:$L$503,0)),"")</f>
        <v/>
      </c>
      <c r="D308" s="7" t="str">
        <f>IFERROR(INDEX(Players!$E$4:$E$503,MATCH(305,Players!$L$4:$L$503,0)),"")</f>
        <v/>
      </c>
      <c r="E308" s="1" t="str">
        <f>IFERROR(INDEX(Players!$F$4:$F$503,MATCH(305,Players!$L$4:$L$503,0)),"")</f>
        <v/>
      </c>
      <c r="F308" s="1" t="str">
        <f>IFERROR(INDEX(Players!$I$4:$I$503,MATCH(305,Players!$L$4:$L$503,0)),"")</f>
        <v/>
      </c>
    </row>
    <row r="309" spans="1:6">
      <c r="A309" s="1" t="str">
        <f>IFERROR(INDEX(Players!$B$4:$B$503,MATCH(306,Players!$L$4:$L$503,0)),"")</f>
        <v/>
      </c>
      <c r="B309" s="1" t="str">
        <f>IFERROR(INDEX(Players!$C$4:$C$503,MATCH(306,Players!$L$4:$L$503,0)),"")</f>
        <v/>
      </c>
      <c r="C309" s="1" t="str">
        <f>IFERROR(INDEX(Players!$D$4:$D$503,MATCH(306,Players!$L$4:$L$503,0)),"")</f>
        <v/>
      </c>
      <c r="D309" s="7" t="str">
        <f>IFERROR(INDEX(Players!$E$4:$E$503,MATCH(306,Players!$L$4:$L$503,0)),"")</f>
        <v/>
      </c>
      <c r="E309" s="1" t="str">
        <f>IFERROR(INDEX(Players!$F$4:$F$503,MATCH(306,Players!$L$4:$L$503,0)),"")</f>
        <v/>
      </c>
      <c r="F309" s="1" t="str">
        <f>IFERROR(INDEX(Players!$I$4:$I$503,MATCH(306,Players!$L$4:$L$503,0)),"")</f>
        <v/>
      </c>
    </row>
    <row r="310" spans="1:6">
      <c r="A310" s="1" t="str">
        <f>IFERROR(INDEX(Players!$B$4:$B$503,MATCH(307,Players!$L$4:$L$503,0)),"")</f>
        <v/>
      </c>
      <c r="B310" s="1" t="str">
        <f>IFERROR(INDEX(Players!$C$4:$C$503,MATCH(307,Players!$L$4:$L$503,0)),"")</f>
        <v/>
      </c>
      <c r="C310" s="1" t="str">
        <f>IFERROR(INDEX(Players!$D$4:$D$503,MATCH(307,Players!$L$4:$L$503,0)),"")</f>
        <v/>
      </c>
      <c r="D310" s="7" t="str">
        <f>IFERROR(INDEX(Players!$E$4:$E$503,MATCH(307,Players!$L$4:$L$503,0)),"")</f>
        <v/>
      </c>
      <c r="E310" s="1" t="str">
        <f>IFERROR(INDEX(Players!$F$4:$F$503,MATCH(307,Players!$L$4:$L$503,0)),"")</f>
        <v/>
      </c>
      <c r="F310" s="1" t="str">
        <f>IFERROR(INDEX(Players!$I$4:$I$503,MATCH(307,Players!$L$4:$L$503,0)),"")</f>
        <v/>
      </c>
    </row>
    <row r="311" spans="1:6">
      <c r="A311" s="1" t="str">
        <f>IFERROR(INDEX(Players!$B$4:$B$503,MATCH(308,Players!$L$4:$L$503,0)),"")</f>
        <v/>
      </c>
      <c r="B311" s="1" t="str">
        <f>IFERROR(INDEX(Players!$C$4:$C$503,MATCH(308,Players!$L$4:$L$503,0)),"")</f>
        <v/>
      </c>
      <c r="C311" s="1" t="str">
        <f>IFERROR(INDEX(Players!$D$4:$D$503,MATCH(308,Players!$L$4:$L$503,0)),"")</f>
        <v/>
      </c>
      <c r="D311" s="7" t="str">
        <f>IFERROR(INDEX(Players!$E$4:$E$503,MATCH(308,Players!$L$4:$L$503,0)),"")</f>
        <v/>
      </c>
      <c r="E311" s="1" t="str">
        <f>IFERROR(INDEX(Players!$F$4:$F$503,MATCH(308,Players!$L$4:$L$503,0)),"")</f>
        <v/>
      </c>
      <c r="F311" s="1" t="str">
        <f>IFERROR(INDEX(Players!$I$4:$I$503,MATCH(308,Players!$L$4:$L$503,0)),"")</f>
        <v/>
      </c>
    </row>
    <row r="312" spans="1:6">
      <c r="A312" s="1" t="str">
        <f>IFERROR(INDEX(Players!$B$4:$B$503,MATCH(309,Players!$L$4:$L$503,0)),"")</f>
        <v/>
      </c>
      <c r="B312" s="1" t="str">
        <f>IFERROR(INDEX(Players!$C$4:$C$503,MATCH(309,Players!$L$4:$L$503,0)),"")</f>
        <v/>
      </c>
      <c r="C312" s="1" t="str">
        <f>IFERROR(INDEX(Players!$D$4:$D$503,MATCH(309,Players!$L$4:$L$503,0)),"")</f>
        <v/>
      </c>
      <c r="D312" s="7" t="str">
        <f>IFERROR(INDEX(Players!$E$4:$E$503,MATCH(309,Players!$L$4:$L$503,0)),"")</f>
        <v/>
      </c>
      <c r="E312" s="1" t="str">
        <f>IFERROR(INDEX(Players!$F$4:$F$503,MATCH(309,Players!$L$4:$L$503,0)),"")</f>
        <v/>
      </c>
      <c r="F312" s="1" t="str">
        <f>IFERROR(INDEX(Players!$I$4:$I$503,MATCH(309,Players!$L$4:$L$503,0)),"")</f>
        <v/>
      </c>
    </row>
    <row r="313" spans="1:6">
      <c r="A313" s="1" t="str">
        <f>IFERROR(INDEX(Players!$B$4:$B$503,MATCH(310,Players!$L$4:$L$503,0)),"")</f>
        <v/>
      </c>
      <c r="B313" s="1" t="str">
        <f>IFERROR(INDEX(Players!$C$4:$C$503,MATCH(310,Players!$L$4:$L$503,0)),"")</f>
        <v/>
      </c>
      <c r="C313" s="1" t="str">
        <f>IFERROR(INDEX(Players!$D$4:$D$503,MATCH(310,Players!$L$4:$L$503,0)),"")</f>
        <v/>
      </c>
      <c r="D313" s="7" t="str">
        <f>IFERROR(INDEX(Players!$E$4:$E$503,MATCH(310,Players!$L$4:$L$503,0)),"")</f>
        <v/>
      </c>
      <c r="E313" s="1" t="str">
        <f>IFERROR(INDEX(Players!$F$4:$F$503,MATCH(310,Players!$L$4:$L$503,0)),"")</f>
        <v/>
      </c>
      <c r="F313" s="1" t="str">
        <f>IFERROR(INDEX(Players!$I$4:$I$503,MATCH(310,Players!$L$4:$L$503,0)),"")</f>
        <v/>
      </c>
    </row>
    <row r="314" spans="1:6">
      <c r="A314" s="1" t="str">
        <f>IFERROR(INDEX(Players!$B$4:$B$503,MATCH(311,Players!$L$4:$L$503,0)),"")</f>
        <v/>
      </c>
      <c r="B314" s="1" t="str">
        <f>IFERROR(INDEX(Players!$C$4:$C$503,MATCH(311,Players!$L$4:$L$503,0)),"")</f>
        <v/>
      </c>
      <c r="C314" s="1" t="str">
        <f>IFERROR(INDEX(Players!$D$4:$D$503,MATCH(311,Players!$L$4:$L$503,0)),"")</f>
        <v/>
      </c>
      <c r="D314" s="7" t="str">
        <f>IFERROR(INDEX(Players!$E$4:$E$503,MATCH(311,Players!$L$4:$L$503,0)),"")</f>
        <v/>
      </c>
      <c r="E314" s="1" t="str">
        <f>IFERROR(INDEX(Players!$F$4:$F$503,MATCH(311,Players!$L$4:$L$503,0)),"")</f>
        <v/>
      </c>
      <c r="F314" s="1" t="str">
        <f>IFERROR(INDEX(Players!$I$4:$I$503,MATCH(311,Players!$L$4:$L$503,0)),"")</f>
        <v/>
      </c>
    </row>
    <row r="315" spans="1:6">
      <c r="A315" s="1" t="str">
        <f>IFERROR(INDEX(Players!$B$4:$B$503,MATCH(312,Players!$L$4:$L$503,0)),"")</f>
        <v/>
      </c>
      <c r="B315" s="1" t="str">
        <f>IFERROR(INDEX(Players!$C$4:$C$503,MATCH(312,Players!$L$4:$L$503,0)),"")</f>
        <v/>
      </c>
      <c r="C315" s="1" t="str">
        <f>IFERROR(INDEX(Players!$D$4:$D$503,MATCH(312,Players!$L$4:$L$503,0)),"")</f>
        <v/>
      </c>
      <c r="D315" s="7" t="str">
        <f>IFERROR(INDEX(Players!$E$4:$E$503,MATCH(312,Players!$L$4:$L$503,0)),"")</f>
        <v/>
      </c>
      <c r="E315" s="1" t="str">
        <f>IFERROR(INDEX(Players!$F$4:$F$503,MATCH(312,Players!$L$4:$L$503,0)),"")</f>
        <v/>
      </c>
      <c r="F315" s="1" t="str">
        <f>IFERROR(INDEX(Players!$I$4:$I$503,MATCH(312,Players!$L$4:$L$503,0)),"")</f>
        <v/>
      </c>
    </row>
    <row r="316" spans="1:6">
      <c r="A316" s="1" t="str">
        <f>IFERROR(INDEX(Players!$B$4:$B$503,MATCH(313,Players!$L$4:$L$503,0)),"")</f>
        <v/>
      </c>
      <c r="B316" s="1" t="str">
        <f>IFERROR(INDEX(Players!$C$4:$C$503,MATCH(313,Players!$L$4:$L$503,0)),"")</f>
        <v/>
      </c>
      <c r="C316" s="1" t="str">
        <f>IFERROR(INDEX(Players!$D$4:$D$503,MATCH(313,Players!$L$4:$L$503,0)),"")</f>
        <v/>
      </c>
      <c r="D316" s="7" t="str">
        <f>IFERROR(INDEX(Players!$E$4:$E$503,MATCH(313,Players!$L$4:$L$503,0)),"")</f>
        <v/>
      </c>
      <c r="E316" s="1" t="str">
        <f>IFERROR(INDEX(Players!$F$4:$F$503,MATCH(313,Players!$L$4:$L$503,0)),"")</f>
        <v/>
      </c>
      <c r="F316" s="1" t="str">
        <f>IFERROR(INDEX(Players!$I$4:$I$503,MATCH(313,Players!$L$4:$L$503,0)),"")</f>
        <v/>
      </c>
    </row>
    <row r="317" spans="1:6">
      <c r="A317" s="1" t="str">
        <f>IFERROR(INDEX(Players!$B$4:$B$503,MATCH(314,Players!$L$4:$L$503,0)),"")</f>
        <v/>
      </c>
      <c r="B317" s="1" t="str">
        <f>IFERROR(INDEX(Players!$C$4:$C$503,MATCH(314,Players!$L$4:$L$503,0)),"")</f>
        <v/>
      </c>
      <c r="C317" s="1" t="str">
        <f>IFERROR(INDEX(Players!$D$4:$D$503,MATCH(314,Players!$L$4:$L$503,0)),"")</f>
        <v/>
      </c>
      <c r="D317" s="7" t="str">
        <f>IFERROR(INDEX(Players!$E$4:$E$503,MATCH(314,Players!$L$4:$L$503,0)),"")</f>
        <v/>
      </c>
      <c r="E317" s="1" t="str">
        <f>IFERROR(INDEX(Players!$F$4:$F$503,MATCH(314,Players!$L$4:$L$503,0)),"")</f>
        <v/>
      </c>
      <c r="F317" s="1" t="str">
        <f>IFERROR(INDEX(Players!$I$4:$I$503,MATCH(314,Players!$L$4:$L$503,0)),"")</f>
        <v/>
      </c>
    </row>
    <row r="318" spans="1:6">
      <c r="A318" s="1" t="str">
        <f>IFERROR(INDEX(Players!$B$4:$B$503,MATCH(315,Players!$L$4:$L$503,0)),"")</f>
        <v/>
      </c>
      <c r="B318" s="1" t="str">
        <f>IFERROR(INDEX(Players!$C$4:$C$503,MATCH(315,Players!$L$4:$L$503,0)),"")</f>
        <v/>
      </c>
      <c r="C318" s="1" t="str">
        <f>IFERROR(INDEX(Players!$D$4:$D$503,MATCH(315,Players!$L$4:$L$503,0)),"")</f>
        <v/>
      </c>
      <c r="D318" s="7" t="str">
        <f>IFERROR(INDEX(Players!$E$4:$E$503,MATCH(315,Players!$L$4:$L$503,0)),"")</f>
        <v/>
      </c>
      <c r="E318" s="1" t="str">
        <f>IFERROR(INDEX(Players!$F$4:$F$503,MATCH(315,Players!$L$4:$L$503,0)),"")</f>
        <v/>
      </c>
      <c r="F318" s="1" t="str">
        <f>IFERROR(INDEX(Players!$I$4:$I$503,MATCH(315,Players!$L$4:$L$503,0)),"")</f>
        <v/>
      </c>
    </row>
    <row r="319" spans="1:6">
      <c r="A319" s="1" t="str">
        <f>IFERROR(INDEX(Players!$B$4:$B$503,MATCH(316,Players!$L$4:$L$503,0)),"")</f>
        <v/>
      </c>
      <c r="B319" s="1" t="str">
        <f>IFERROR(INDEX(Players!$C$4:$C$503,MATCH(316,Players!$L$4:$L$503,0)),"")</f>
        <v/>
      </c>
      <c r="C319" s="1" t="str">
        <f>IFERROR(INDEX(Players!$D$4:$D$503,MATCH(316,Players!$L$4:$L$503,0)),"")</f>
        <v/>
      </c>
      <c r="D319" s="7" t="str">
        <f>IFERROR(INDEX(Players!$E$4:$E$503,MATCH(316,Players!$L$4:$L$503,0)),"")</f>
        <v/>
      </c>
      <c r="E319" s="1" t="str">
        <f>IFERROR(INDEX(Players!$F$4:$F$503,MATCH(316,Players!$L$4:$L$503,0)),"")</f>
        <v/>
      </c>
      <c r="F319" s="1" t="str">
        <f>IFERROR(INDEX(Players!$I$4:$I$503,MATCH(316,Players!$L$4:$L$503,0)),"")</f>
        <v/>
      </c>
    </row>
    <row r="320" spans="1:6">
      <c r="A320" s="1" t="str">
        <f>IFERROR(INDEX(Players!$B$4:$B$503,MATCH(317,Players!$L$4:$L$503,0)),"")</f>
        <v/>
      </c>
      <c r="B320" s="1" t="str">
        <f>IFERROR(INDEX(Players!$C$4:$C$503,MATCH(317,Players!$L$4:$L$503,0)),"")</f>
        <v/>
      </c>
      <c r="C320" s="1" t="str">
        <f>IFERROR(INDEX(Players!$D$4:$D$503,MATCH(317,Players!$L$4:$L$503,0)),"")</f>
        <v/>
      </c>
      <c r="D320" s="7" t="str">
        <f>IFERROR(INDEX(Players!$E$4:$E$503,MATCH(317,Players!$L$4:$L$503,0)),"")</f>
        <v/>
      </c>
      <c r="E320" s="1" t="str">
        <f>IFERROR(INDEX(Players!$F$4:$F$503,MATCH(317,Players!$L$4:$L$503,0)),"")</f>
        <v/>
      </c>
      <c r="F320" s="1" t="str">
        <f>IFERROR(INDEX(Players!$I$4:$I$503,MATCH(317,Players!$L$4:$L$503,0)),"")</f>
        <v/>
      </c>
    </row>
    <row r="321" spans="1:6">
      <c r="A321" s="1" t="str">
        <f>IFERROR(INDEX(Players!$B$4:$B$503,MATCH(318,Players!$L$4:$L$503,0)),"")</f>
        <v/>
      </c>
      <c r="B321" s="1" t="str">
        <f>IFERROR(INDEX(Players!$C$4:$C$503,MATCH(318,Players!$L$4:$L$503,0)),"")</f>
        <v/>
      </c>
      <c r="C321" s="1" t="str">
        <f>IFERROR(INDEX(Players!$D$4:$D$503,MATCH(318,Players!$L$4:$L$503,0)),"")</f>
        <v/>
      </c>
      <c r="D321" s="7" t="str">
        <f>IFERROR(INDEX(Players!$E$4:$E$503,MATCH(318,Players!$L$4:$L$503,0)),"")</f>
        <v/>
      </c>
      <c r="E321" s="1" t="str">
        <f>IFERROR(INDEX(Players!$F$4:$F$503,MATCH(318,Players!$L$4:$L$503,0)),"")</f>
        <v/>
      </c>
      <c r="F321" s="1" t="str">
        <f>IFERROR(INDEX(Players!$I$4:$I$503,MATCH(318,Players!$L$4:$L$503,0)),"")</f>
        <v/>
      </c>
    </row>
    <row r="322" spans="1:6">
      <c r="A322" s="1" t="str">
        <f>IFERROR(INDEX(Players!$B$4:$B$503,MATCH(319,Players!$L$4:$L$503,0)),"")</f>
        <v/>
      </c>
      <c r="B322" s="1" t="str">
        <f>IFERROR(INDEX(Players!$C$4:$C$503,MATCH(319,Players!$L$4:$L$503,0)),"")</f>
        <v/>
      </c>
      <c r="C322" s="1" t="str">
        <f>IFERROR(INDEX(Players!$D$4:$D$503,MATCH(319,Players!$L$4:$L$503,0)),"")</f>
        <v/>
      </c>
      <c r="D322" s="7" t="str">
        <f>IFERROR(INDEX(Players!$E$4:$E$503,MATCH(319,Players!$L$4:$L$503,0)),"")</f>
        <v/>
      </c>
      <c r="E322" s="1" t="str">
        <f>IFERROR(INDEX(Players!$F$4:$F$503,MATCH(319,Players!$L$4:$L$503,0)),"")</f>
        <v/>
      </c>
      <c r="F322" s="1" t="str">
        <f>IFERROR(INDEX(Players!$I$4:$I$503,MATCH(319,Players!$L$4:$L$503,0)),"")</f>
        <v/>
      </c>
    </row>
    <row r="323" spans="1:6">
      <c r="A323" s="1" t="str">
        <f>IFERROR(INDEX(Players!$B$4:$B$503,MATCH(320,Players!$L$4:$L$503,0)),"")</f>
        <v/>
      </c>
      <c r="B323" s="1" t="str">
        <f>IFERROR(INDEX(Players!$C$4:$C$503,MATCH(320,Players!$L$4:$L$503,0)),"")</f>
        <v/>
      </c>
      <c r="C323" s="1" t="str">
        <f>IFERROR(INDEX(Players!$D$4:$D$503,MATCH(320,Players!$L$4:$L$503,0)),"")</f>
        <v/>
      </c>
      <c r="D323" s="7" t="str">
        <f>IFERROR(INDEX(Players!$E$4:$E$503,MATCH(320,Players!$L$4:$L$503,0)),"")</f>
        <v/>
      </c>
      <c r="E323" s="1" t="str">
        <f>IFERROR(INDEX(Players!$F$4:$F$503,MATCH(320,Players!$L$4:$L$503,0)),"")</f>
        <v/>
      </c>
      <c r="F323" s="1" t="str">
        <f>IFERROR(INDEX(Players!$I$4:$I$503,MATCH(320,Players!$L$4:$L$503,0)),"")</f>
        <v/>
      </c>
    </row>
    <row r="324" spans="1:6">
      <c r="A324" s="1" t="str">
        <f>IFERROR(INDEX(Players!$B$4:$B$503,MATCH(321,Players!$L$4:$L$503,0)),"")</f>
        <v/>
      </c>
      <c r="B324" s="1" t="str">
        <f>IFERROR(INDEX(Players!$C$4:$C$503,MATCH(321,Players!$L$4:$L$503,0)),"")</f>
        <v/>
      </c>
      <c r="C324" s="1" t="str">
        <f>IFERROR(INDEX(Players!$D$4:$D$503,MATCH(321,Players!$L$4:$L$503,0)),"")</f>
        <v/>
      </c>
      <c r="D324" s="7" t="str">
        <f>IFERROR(INDEX(Players!$E$4:$E$503,MATCH(321,Players!$L$4:$L$503,0)),"")</f>
        <v/>
      </c>
      <c r="E324" s="1" t="str">
        <f>IFERROR(INDEX(Players!$F$4:$F$503,MATCH(321,Players!$L$4:$L$503,0)),"")</f>
        <v/>
      </c>
      <c r="F324" s="1" t="str">
        <f>IFERROR(INDEX(Players!$I$4:$I$503,MATCH(321,Players!$L$4:$L$503,0)),"")</f>
        <v/>
      </c>
    </row>
    <row r="325" spans="1:6">
      <c r="A325" s="1" t="str">
        <f>IFERROR(INDEX(Players!$B$4:$B$503,MATCH(322,Players!$L$4:$L$503,0)),"")</f>
        <v/>
      </c>
      <c r="B325" s="1" t="str">
        <f>IFERROR(INDEX(Players!$C$4:$C$503,MATCH(322,Players!$L$4:$L$503,0)),"")</f>
        <v/>
      </c>
      <c r="C325" s="1" t="str">
        <f>IFERROR(INDEX(Players!$D$4:$D$503,MATCH(322,Players!$L$4:$L$503,0)),"")</f>
        <v/>
      </c>
      <c r="D325" s="7" t="str">
        <f>IFERROR(INDEX(Players!$E$4:$E$503,MATCH(322,Players!$L$4:$L$503,0)),"")</f>
        <v/>
      </c>
      <c r="E325" s="1" t="str">
        <f>IFERROR(INDEX(Players!$F$4:$F$503,MATCH(322,Players!$L$4:$L$503,0)),"")</f>
        <v/>
      </c>
      <c r="F325" s="1" t="str">
        <f>IFERROR(INDEX(Players!$I$4:$I$503,MATCH(322,Players!$L$4:$L$503,0)),"")</f>
        <v/>
      </c>
    </row>
    <row r="326" spans="1:6">
      <c r="A326" s="1" t="str">
        <f>IFERROR(INDEX(Players!$B$4:$B$503,MATCH(323,Players!$L$4:$L$503,0)),"")</f>
        <v/>
      </c>
      <c r="B326" s="1" t="str">
        <f>IFERROR(INDEX(Players!$C$4:$C$503,MATCH(323,Players!$L$4:$L$503,0)),"")</f>
        <v/>
      </c>
      <c r="C326" s="1" t="str">
        <f>IFERROR(INDEX(Players!$D$4:$D$503,MATCH(323,Players!$L$4:$L$503,0)),"")</f>
        <v/>
      </c>
      <c r="D326" s="7" t="str">
        <f>IFERROR(INDEX(Players!$E$4:$E$503,MATCH(323,Players!$L$4:$L$503,0)),"")</f>
        <v/>
      </c>
      <c r="E326" s="1" t="str">
        <f>IFERROR(INDEX(Players!$F$4:$F$503,MATCH(323,Players!$L$4:$L$503,0)),"")</f>
        <v/>
      </c>
      <c r="F326" s="1" t="str">
        <f>IFERROR(INDEX(Players!$I$4:$I$503,MATCH(323,Players!$L$4:$L$503,0)),"")</f>
        <v/>
      </c>
    </row>
    <row r="327" spans="1:6">
      <c r="A327" s="1" t="str">
        <f>IFERROR(INDEX(Players!$B$4:$B$503,MATCH(324,Players!$L$4:$L$503,0)),"")</f>
        <v/>
      </c>
      <c r="B327" s="1" t="str">
        <f>IFERROR(INDEX(Players!$C$4:$C$503,MATCH(324,Players!$L$4:$L$503,0)),"")</f>
        <v/>
      </c>
      <c r="C327" s="1" t="str">
        <f>IFERROR(INDEX(Players!$D$4:$D$503,MATCH(324,Players!$L$4:$L$503,0)),"")</f>
        <v/>
      </c>
      <c r="D327" s="7" t="str">
        <f>IFERROR(INDEX(Players!$E$4:$E$503,MATCH(324,Players!$L$4:$L$503,0)),"")</f>
        <v/>
      </c>
      <c r="E327" s="1" t="str">
        <f>IFERROR(INDEX(Players!$F$4:$F$503,MATCH(324,Players!$L$4:$L$503,0)),"")</f>
        <v/>
      </c>
      <c r="F327" s="1" t="str">
        <f>IFERROR(INDEX(Players!$I$4:$I$503,MATCH(324,Players!$L$4:$L$503,0)),"")</f>
        <v/>
      </c>
    </row>
    <row r="328" spans="1:6">
      <c r="A328" s="1" t="str">
        <f>IFERROR(INDEX(Players!$B$4:$B$503,MATCH(325,Players!$L$4:$L$503,0)),"")</f>
        <v/>
      </c>
      <c r="B328" s="1" t="str">
        <f>IFERROR(INDEX(Players!$C$4:$C$503,MATCH(325,Players!$L$4:$L$503,0)),"")</f>
        <v/>
      </c>
      <c r="C328" s="1" t="str">
        <f>IFERROR(INDEX(Players!$D$4:$D$503,MATCH(325,Players!$L$4:$L$503,0)),"")</f>
        <v/>
      </c>
      <c r="D328" s="7" t="str">
        <f>IFERROR(INDEX(Players!$E$4:$E$503,MATCH(325,Players!$L$4:$L$503,0)),"")</f>
        <v/>
      </c>
      <c r="E328" s="1" t="str">
        <f>IFERROR(INDEX(Players!$F$4:$F$503,MATCH(325,Players!$L$4:$L$503,0)),"")</f>
        <v/>
      </c>
      <c r="F328" s="1" t="str">
        <f>IFERROR(INDEX(Players!$I$4:$I$503,MATCH(325,Players!$L$4:$L$503,0)),"")</f>
        <v/>
      </c>
    </row>
    <row r="329" spans="1:6">
      <c r="A329" s="1" t="str">
        <f>IFERROR(INDEX(Players!$B$4:$B$503,MATCH(326,Players!$L$4:$L$503,0)),"")</f>
        <v/>
      </c>
      <c r="B329" s="1" t="str">
        <f>IFERROR(INDEX(Players!$C$4:$C$503,MATCH(326,Players!$L$4:$L$503,0)),"")</f>
        <v/>
      </c>
      <c r="C329" s="1" t="str">
        <f>IFERROR(INDEX(Players!$D$4:$D$503,MATCH(326,Players!$L$4:$L$503,0)),"")</f>
        <v/>
      </c>
      <c r="D329" s="7" t="str">
        <f>IFERROR(INDEX(Players!$E$4:$E$503,MATCH(326,Players!$L$4:$L$503,0)),"")</f>
        <v/>
      </c>
      <c r="E329" s="1" t="str">
        <f>IFERROR(INDEX(Players!$F$4:$F$503,MATCH(326,Players!$L$4:$L$503,0)),"")</f>
        <v/>
      </c>
      <c r="F329" s="1" t="str">
        <f>IFERROR(INDEX(Players!$I$4:$I$503,MATCH(326,Players!$L$4:$L$503,0)),"")</f>
        <v/>
      </c>
    </row>
    <row r="330" spans="1:6">
      <c r="A330" s="1" t="str">
        <f>IFERROR(INDEX(Players!$B$4:$B$503,MATCH(327,Players!$L$4:$L$503,0)),"")</f>
        <v/>
      </c>
      <c r="B330" s="1" t="str">
        <f>IFERROR(INDEX(Players!$C$4:$C$503,MATCH(327,Players!$L$4:$L$503,0)),"")</f>
        <v/>
      </c>
      <c r="C330" s="1" t="str">
        <f>IFERROR(INDEX(Players!$D$4:$D$503,MATCH(327,Players!$L$4:$L$503,0)),"")</f>
        <v/>
      </c>
      <c r="D330" s="7" t="str">
        <f>IFERROR(INDEX(Players!$E$4:$E$503,MATCH(327,Players!$L$4:$L$503,0)),"")</f>
        <v/>
      </c>
      <c r="E330" s="1" t="str">
        <f>IFERROR(INDEX(Players!$F$4:$F$503,MATCH(327,Players!$L$4:$L$503,0)),"")</f>
        <v/>
      </c>
      <c r="F330" s="1" t="str">
        <f>IFERROR(INDEX(Players!$I$4:$I$503,MATCH(327,Players!$L$4:$L$503,0)),"")</f>
        <v/>
      </c>
    </row>
    <row r="331" spans="1:6">
      <c r="A331" s="1" t="str">
        <f>IFERROR(INDEX(Players!$B$4:$B$503,MATCH(328,Players!$L$4:$L$503,0)),"")</f>
        <v/>
      </c>
      <c r="B331" s="1" t="str">
        <f>IFERROR(INDEX(Players!$C$4:$C$503,MATCH(328,Players!$L$4:$L$503,0)),"")</f>
        <v/>
      </c>
      <c r="C331" s="1" t="str">
        <f>IFERROR(INDEX(Players!$D$4:$D$503,MATCH(328,Players!$L$4:$L$503,0)),"")</f>
        <v/>
      </c>
      <c r="D331" s="7" t="str">
        <f>IFERROR(INDEX(Players!$E$4:$E$503,MATCH(328,Players!$L$4:$L$503,0)),"")</f>
        <v/>
      </c>
      <c r="E331" s="1" t="str">
        <f>IFERROR(INDEX(Players!$F$4:$F$503,MATCH(328,Players!$L$4:$L$503,0)),"")</f>
        <v/>
      </c>
      <c r="F331" s="1" t="str">
        <f>IFERROR(INDEX(Players!$I$4:$I$503,MATCH(328,Players!$L$4:$L$503,0)),"")</f>
        <v/>
      </c>
    </row>
    <row r="332" spans="1:6">
      <c r="A332" s="1" t="str">
        <f>IFERROR(INDEX(Players!$B$4:$B$503,MATCH(329,Players!$L$4:$L$503,0)),"")</f>
        <v/>
      </c>
      <c r="B332" s="1" t="str">
        <f>IFERROR(INDEX(Players!$C$4:$C$503,MATCH(329,Players!$L$4:$L$503,0)),"")</f>
        <v/>
      </c>
      <c r="C332" s="1" t="str">
        <f>IFERROR(INDEX(Players!$D$4:$D$503,MATCH(329,Players!$L$4:$L$503,0)),"")</f>
        <v/>
      </c>
      <c r="D332" s="7" t="str">
        <f>IFERROR(INDEX(Players!$E$4:$E$503,MATCH(329,Players!$L$4:$L$503,0)),"")</f>
        <v/>
      </c>
      <c r="E332" s="1" t="str">
        <f>IFERROR(INDEX(Players!$F$4:$F$503,MATCH(329,Players!$L$4:$L$503,0)),"")</f>
        <v/>
      </c>
      <c r="F332" s="1" t="str">
        <f>IFERROR(INDEX(Players!$I$4:$I$503,MATCH(329,Players!$L$4:$L$503,0)),"")</f>
        <v/>
      </c>
    </row>
    <row r="333" spans="1:6">
      <c r="A333" s="1" t="str">
        <f>IFERROR(INDEX(Players!$B$4:$B$503,MATCH(330,Players!$L$4:$L$503,0)),"")</f>
        <v/>
      </c>
      <c r="B333" s="1" t="str">
        <f>IFERROR(INDEX(Players!$C$4:$C$503,MATCH(330,Players!$L$4:$L$503,0)),"")</f>
        <v/>
      </c>
      <c r="C333" s="1" t="str">
        <f>IFERROR(INDEX(Players!$D$4:$D$503,MATCH(330,Players!$L$4:$L$503,0)),"")</f>
        <v/>
      </c>
      <c r="D333" s="7" t="str">
        <f>IFERROR(INDEX(Players!$E$4:$E$503,MATCH(330,Players!$L$4:$L$503,0)),"")</f>
        <v/>
      </c>
      <c r="E333" s="1" t="str">
        <f>IFERROR(INDEX(Players!$F$4:$F$503,MATCH(330,Players!$L$4:$L$503,0)),"")</f>
        <v/>
      </c>
      <c r="F333" s="1" t="str">
        <f>IFERROR(INDEX(Players!$I$4:$I$503,MATCH(330,Players!$L$4:$L$503,0)),"")</f>
        <v/>
      </c>
    </row>
    <row r="334" spans="1:6">
      <c r="A334" s="1" t="str">
        <f>IFERROR(INDEX(Players!$B$4:$B$503,MATCH(331,Players!$L$4:$L$503,0)),"")</f>
        <v/>
      </c>
      <c r="B334" s="1" t="str">
        <f>IFERROR(INDEX(Players!$C$4:$C$503,MATCH(331,Players!$L$4:$L$503,0)),"")</f>
        <v/>
      </c>
      <c r="C334" s="1" t="str">
        <f>IFERROR(INDEX(Players!$D$4:$D$503,MATCH(331,Players!$L$4:$L$503,0)),"")</f>
        <v/>
      </c>
      <c r="D334" s="7" t="str">
        <f>IFERROR(INDEX(Players!$E$4:$E$503,MATCH(331,Players!$L$4:$L$503,0)),"")</f>
        <v/>
      </c>
      <c r="E334" s="1" t="str">
        <f>IFERROR(INDEX(Players!$F$4:$F$503,MATCH(331,Players!$L$4:$L$503,0)),"")</f>
        <v/>
      </c>
      <c r="F334" s="1" t="str">
        <f>IFERROR(INDEX(Players!$I$4:$I$503,MATCH(331,Players!$L$4:$L$503,0)),"")</f>
        <v/>
      </c>
    </row>
    <row r="335" spans="1:6">
      <c r="A335" s="1" t="str">
        <f>IFERROR(INDEX(Players!$B$4:$B$503,MATCH(332,Players!$L$4:$L$503,0)),"")</f>
        <v/>
      </c>
      <c r="B335" s="1" t="str">
        <f>IFERROR(INDEX(Players!$C$4:$C$503,MATCH(332,Players!$L$4:$L$503,0)),"")</f>
        <v/>
      </c>
      <c r="C335" s="1" t="str">
        <f>IFERROR(INDEX(Players!$D$4:$D$503,MATCH(332,Players!$L$4:$L$503,0)),"")</f>
        <v/>
      </c>
      <c r="D335" s="7" t="str">
        <f>IFERROR(INDEX(Players!$E$4:$E$503,MATCH(332,Players!$L$4:$L$503,0)),"")</f>
        <v/>
      </c>
      <c r="E335" s="1" t="str">
        <f>IFERROR(INDEX(Players!$F$4:$F$503,MATCH(332,Players!$L$4:$L$503,0)),"")</f>
        <v/>
      </c>
      <c r="F335" s="1" t="str">
        <f>IFERROR(INDEX(Players!$I$4:$I$503,MATCH(332,Players!$L$4:$L$503,0)),"")</f>
        <v/>
      </c>
    </row>
    <row r="336" spans="1:6">
      <c r="A336" s="1" t="str">
        <f>IFERROR(INDEX(Players!$B$4:$B$503,MATCH(333,Players!$L$4:$L$503,0)),"")</f>
        <v/>
      </c>
      <c r="B336" s="1" t="str">
        <f>IFERROR(INDEX(Players!$C$4:$C$503,MATCH(333,Players!$L$4:$L$503,0)),"")</f>
        <v/>
      </c>
      <c r="C336" s="1" t="str">
        <f>IFERROR(INDEX(Players!$D$4:$D$503,MATCH(333,Players!$L$4:$L$503,0)),"")</f>
        <v/>
      </c>
      <c r="D336" s="7" t="str">
        <f>IFERROR(INDEX(Players!$E$4:$E$503,MATCH(333,Players!$L$4:$L$503,0)),"")</f>
        <v/>
      </c>
      <c r="E336" s="1" t="str">
        <f>IFERROR(INDEX(Players!$F$4:$F$503,MATCH(333,Players!$L$4:$L$503,0)),"")</f>
        <v/>
      </c>
      <c r="F336" s="1" t="str">
        <f>IFERROR(INDEX(Players!$I$4:$I$503,MATCH(333,Players!$L$4:$L$503,0)),"")</f>
        <v/>
      </c>
    </row>
    <row r="337" spans="1:6">
      <c r="A337" s="1" t="str">
        <f>IFERROR(INDEX(Players!$B$4:$B$503,MATCH(334,Players!$L$4:$L$503,0)),"")</f>
        <v/>
      </c>
      <c r="B337" s="1" t="str">
        <f>IFERROR(INDEX(Players!$C$4:$C$503,MATCH(334,Players!$L$4:$L$503,0)),"")</f>
        <v/>
      </c>
      <c r="C337" s="1" t="str">
        <f>IFERROR(INDEX(Players!$D$4:$D$503,MATCH(334,Players!$L$4:$L$503,0)),"")</f>
        <v/>
      </c>
      <c r="D337" s="7" t="str">
        <f>IFERROR(INDEX(Players!$E$4:$E$503,MATCH(334,Players!$L$4:$L$503,0)),"")</f>
        <v/>
      </c>
      <c r="E337" s="1" t="str">
        <f>IFERROR(INDEX(Players!$F$4:$F$503,MATCH(334,Players!$L$4:$L$503,0)),"")</f>
        <v/>
      </c>
      <c r="F337" s="1" t="str">
        <f>IFERROR(INDEX(Players!$I$4:$I$503,MATCH(334,Players!$L$4:$L$503,0)),"")</f>
        <v/>
      </c>
    </row>
    <row r="338" spans="1:6">
      <c r="A338" s="1" t="str">
        <f>IFERROR(INDEX(Players!$B$4:$B$503,MATCH(335,Players!$L$4:$L$503,0)),"")</f>
        <v/>
      </c>
      <c r="B338" s="1" t="str">
        <f>IFERROR(INDEX(Players!$C$4:$C$503,MATCH(335,Players!$L$4:$L$503,0)),"")</f>
        <v/>
      </c>
      <c r="C338" s="1" t="str">
        <f>IFERROR(INDEX(Players!$D$4:$D$503,MATCH(335,Players!$L$4:$L$503,0)),"")</f>
        <v/>
      </c>
      <c r="D338" s="7" t="str">
        <f>IFERROR(INDEX(Players!$E$4:$E$503,MATCH(335,Players!$L$4:$L$503,0)),"")</f>
        <v/>
      </c>
      <c r="E338" s="1" t="str">
        <f>IFERROR(INDEX(Players!$F$4:$F$503,MATCH(335,Players!$L$4:$L$503,0)),"")</f>
        <v/>
      </c>
      <c r="F338" s="1" t="str">
        <f>IFERROR(INDEX(Players!$I$4:$I$503,MATCH(335,Players!$L$4:$L$503,0)),"")</f>
        <v/>
      </c>
    </row>
    <row r="339" spans="1:6">
      <c r="A339" s="1" t="str">
        <f>IFERROR(INDEX(Players!$B$4:$B$503,MATCH(336,Players!$L$4:$L$503,0)),"")</f>
        <v/>
      </c>
      <c r="B339" s="1" t="str">
        <f>IFERROR(INDEX(Players!$C$4:$C$503,MATCH(336,Players!$L$4:$L$503,0)),"")</f>
        <v/>
      </c>
      <c r="C339" s="1" t="str">
        <f>IFERROR(INDEX(Players!$D$4:$D$503,MATCH(336,Players!$L$4:$L$503,0)),"")</f>
        <v/>
      </c>
      <c r="D339" s="7" t="str">
        <f>IFERROR(INDEX(Players!$E$4:$E$503,MATCH(336,Players!$L$4:$L$503,0)),"")</f>
        <v/>
      </c>
      <c r="E339" s="1" t="str">
        <f>IFERROR(INDEX(Players!$F$4:$F$503,MATCH(336,Players!$L$4:$L$503,0)),"")</f>
        <v/>
      </c>
      <c r="F339" s="1" t="str">
        <f>IFERROR(INDEX(Players!$I$4:$I$503,MATCH(336,Players!$L$4:$L$503,0)),"")</f>
        <v/>
      </c>
    </row>
    <row r="340" spans="1:6">
      <c r="A340" s="1" t="str">
        <f>IFERROR(INDEX(Players!$B$4:$B$503,MATCH(337,Players!$L$4:$L$503,0)),"")</f>
        <v/>
      </c>
      <c r="B340" s="1" t="str">
        <f>IFERROR(INDEX(Players!$C$4:$C$503,MATCH(337,Players!$L$4:$L$503,0)),"")</f>
        <v/>
      </c>
      <c r="C340" s="1" t="str">
        <f>IFERROR(INDEX(Players!$D$4:$D$503,MATCH(337,Players!$L$4:$L$503,0)),"")</f>
        <v/>
      </c>
      <c r="D340" s="7" t="str">
        <f>IFERROR(INDEX(Players!$E$4:$E$503,MATCH(337,Players!$L$4:$L$503,0)),"")</f>
        <v/>
      </c>
      <c r="E340" s="1" t="str">
        <f>IFERROR(INDEX(Players!$F$4:$F$503,MATCH(337,Players!$L$4:$L$503,0)),"")</f>
        <v/>
      </c>
      <c r="F340" s="1" t="str">
        <f>IFERROR(INDEX(Players!$I$4:$I$503,MATCH(337,Players!$L$4:$L$503,0)),"")</f>
        <v/>
      </c>
    </row>
    <row r="341" spans="1:6">
      <c r="A341" s="1" t="str">
        <f>IFERROR(INDEX(Players!$B$4:$B$503,MATCH(338,Players!$L$4:$L$503,0)),"")</f>
        <v/>
      </c>
      <c r="B341" s="1" t="str">
        <f>IFERROR(INDEX(Players!$C$4:$C$503,MATCH(338,Players!$L$4:$L$503,0)),"")</f>
        <v/>
      </c>
      <c r="C341" s="1" t="str">
        <f>IFERROR(INDEX(Players!$D$4:$D$503,MATCH(338,Players!$L$4:$L$503,0)),"")</f>
        <v/>
      </c>
      <c r="D341" s="7" t="str">
        <f>IFERROR(INDEX(Players!$E$4:$E$503,MATCH(338,Players!$L$4:$L$503,0)),"")</f>
        <v/>
      </c>
      <c r="E341" s="1" t="str">
        <f>IFERROR(INDEX(Players!$F$4:$F$503,MATCH(338,Players!$L$4:$L$503,0)),"")</f>
        <v/>
      </c>
      <c r="F341" s="1" t="str">
        <f>IFERROR(INDEX(Players!$I$4:$I$503,MATCH(338,Players!$L$4:$L$503,0)),"")</f>
        <v/>
      </c>
    </row>
    <row r="342" spans="1:6">
      <c r="A342" s="1" t="str">
        <f>IFERROR(INDEX(Players!$B$4:$B$503,MATCH(339,Players!$L$4:$L$503,0)),"")</f>
        <v/>
      </c>
      <c r="B342" s="1" t="str">
        <f>IFERROR(INDEX(Players!$C$4:$C$503,MATCH(339,Players!$L$4:$L$503,0)),"")</f>
        <v/>
      </c>
      <c r="C342" s="1" t="str">
        <f>IFERROR(INDEX(Players!$D$4:$D$503,MATCH(339,Players!$L$4:$L$503,0)),"")</f>
        <v/>
      </c>
      <c r="D342" s="7" t="str">
        <f>IFERROR(INDEX(Players!$E$4:$E$503,MATCH(339,Players!$L$4:$L$503,0)),"")</f>
        <v/>
      </c>
      <c r="E342" s="1" t="str">
        <f>IFERROR(INDEX(Players!$F$4:$F$503,MATCH(339,Players!$L$4:$L$503,0)),"")</f>
        <v/>
      </c>
      <c r="F342" s="1" t="str">
        <f>IFERROR(INDEX(Players!$I$4:$I$503,MATCH(339,Players!$L$4:$L$503,0)),"")</f>
        <v/>
      </c>
    </row>
    <row r="343" spans="1:6">
      <c r="A343" s="1" t="str">
        <f>IFERROR(INDEX(Players!$B$4:$B$503,MATCH(340,Players!$L$4:$L$503,0)),"")</f>
        <v/>
      </c>
      <c r="B343" s="1" t="str">
        <f>IFERROR(INDEX(Players!$C$4:$C$503,MATCH(340,Players!$L$4:$L$503,0)),"")</f>
        <v/>
      </c>
      <c r="C343" s="1" t="str">
        <f>IFERROR(INDEX(Players!$D$4:$D$503,MATCH(340,Players!$L$4:$L$503,0)),"")</f>
        <v/>
      </c>
      <c r="D343" s="7" t="str">
        <f>IFERROR(INDEX(Players!$E$4:$E$503,MATCH(340,Players!$L$4:$L$503,0)),"")</f>
        <v/>
      </c>
      <c r="E343" s="1" t="str">
        <f>IFERROR(INDEX(Players!$F$4:$F$503,MATCH(340,Players!$L$4:$L$503,0)),"")</f>
        <v/>
      </c>
      <c r="F343" s="1" t="str">
        <f>IFERROR(INDEX(Players!$I$4:$I$503,MATCH(340,Players!$L$4:$L$503,0)),"")</f>
        <v/>
      </c>
    </row>
    <row r="344" spans="1:6">
      <c r="A344" s="1" t="str">
        <f>IFERROR(INDEX(Players!$B$4:$B$503,MATCH(341,Players!$L$4:$L$503,0)),"")</f>
        <v/>
      </c>
      <c r="B344" s="1" t="str">
        <f>IFERROR(INDEX(Players!$C$4:$C$503,MATCH(341,Players!$L$4:$L$503,0)),"")</f>
        <v/>
      </c>
      <c r="C344" s="1" t="str">
        <f>IFERROR(INDEX(Players!$D$4:$D$503,MATCH(341,Players!$L$4:$L$503,0)),"")</f>
        <v/>
      </c>
      <c r="D344" s="7" t="str">
        <f>IFERROR(INDEX(Players!$E$4:$E$503,MATCH(341,Players!$L$4:$L$503,0)),"")</f>
        <v/>
      </c>
      <c r="E344" s="1" t="str">
        <f>IFERROR(INDEX(Players!$F$4:$F$503,MATCH(341,Players!$L$4:$L$503,0)),"")</f>
        <v/>
      </c>
      <c r="F344" s="1" t="str">
        <f>IFERROR(INDEX(Players!$I$4:$I$503,MATCH(341,Players!$L$4:$L$503,0)),"")</f>
        <v/>
      </c>
    </row>
    <row r="345" spans="1:6">
      <c r="A345" s="1" t="str">
        <f>IFERROR(INDEX(Players!$B$4:$B$503,MATCH(342,Players!$L$4:$L$503,0)),"")</f>
        <v/>
      </c>
      <c r="B345" s="1" t="str">
        <f>IFERROR(INDEX(Players!$C$4:$C$503,MATCH(342,Players!$L$4:$L$503,0)),"")</f>
        <v/>
      </c>
      <c r="C345" s="1" t="str">
        <f>IFERROR(INDEX(Players!$D$4:$D$503,MATCH(342,Players!$L$4:$L$503,0)),"")</f>
        <v/>
      </c>
      <c r="D345" s="7" t="str">
        <f>IFERROR(INDEX(Players!$E$4:$E$503,MATCH(342,Players!$L$4:$L$503,0)),"")</f>
        <v/>
      </c>
      <c r="E345" s="1" t="str">
        <f>IFERROR(INDEX(Players!$F$4:$F$503,MATCH(342,Players!$L$4:$L$503,0)),"")</f>
        <v/>
      </c>
      <c r="F345" s="1" t="str">
        <f>IFERROR(INDEX(Players!$I$4:$I$503,MATCH(342,Players!$L$4:$L$503,0)),"")</f>
        <v/>
      </c>
    </row>
    <row r="346" spans="1:6">
      <c r="A346" s="1" t="str">
        <f>IFERROR(INDEX(Players!$B$4:$B$503,MATCH(343,Players!$L$4:$L$503,0)),"")</f>
        <v/>
      </c>
      <c r="B346" s="1" t="str">
        <f>IFERROR(INDEX(Players!$C$4:$C$503,MATCH(343,Players!$L$4:$L$503,0)),"")</f>
        <v/>
      </c>
      <c r="C346" s="1" t="str">
        <f>IFERROR(INDEX(Players!$D$4:$D$503,MATCH(343,Players!$L$4:$L$503,0)),"")</f>
        <v/>
      </c>
      <c r="D346" s="7" t="str">
        <f>IFERROR(INDEX(Players!$E$4:$E$503,MATCH(343,Players!$L$4:$L$503,0)),"")</f>
        <v/>
      </c>
      <c r="E346" s="1" t="str">
        <f>IFERROR(INDEX(Players!$F$4:$F$503,MATCH(343,Players!$L$4:$L$503,0)),"")</f>
        <v/>
      </c>
      <c r="F346" s="1" t="str">
        <f>IFERROR(INDEX(Players!$I$4:$I$503,MATCH(343,Players!$L$4:$L$503,0)),"")</f>
        <v/>
      </c>
    </row>
    <row r="347" spans="1:6">
      <c r="A347" s="1" t="str">
        <f>IFERROR(INDEX(Players!$B$4:$B$503,MATCH(344,Players!$L$4:$L$503,0)),"")</f>
        <v/>
      </c>
      <c r="B347" s="1" t="str">
        <f>IFERROR(INDEX(Players!$C$4:$C$503,MATCH(344,Players!$L$4:$L$503,0)),"")</f>
        <v/>
      </c>
      <c r="C347" s="1" t="str">
        <f>IFERROR(INDEX(Players!$D$4:$D$503,MATCH(344,Players!$L$4:$L$503,0)),"")</f>
        <v/>
      </c>
      <c r="D347" s="7" t="str">
        <f>IFERROR(INDEX(Players!$E$4:$E$503,MATCH(344,Players!$L$4:$L$503,0)),"")</f>
        <v/>
      </c>
      <c r="E347" s="1" t="str">
        <f>IFERROR(INDEX(Players!$F$4:$F$503,MATCH(344,Players!$L$4:$L$503,0)),"")</f>
        <v/>
      </c>
      <c r="F347" s="1" t="str">
        <f>IFERROR(INDEX(Players!$I$4:$I$503,MATCH(344,Players!$L$4:$L$503,0)),"")</f>
        <v/>
      </c>
    </row>
    <row r="348" spans="1:6">
      <c r="A348" s="1" t="str">
        <f>IFERROR(INDEX(Players!$B$4:$B$503,MATCH(345,Players!$L$4:$L$503,0)),"")</f>
        <v/>
      </c>
      <c r="B348" s="1" t="str">
        <f>IFERROR(INDEX(Players!$C$4:$C$503,MATCH(345,Players!$L$4:$L$503,0)),"")</f>
        <v/>
      </c>
      <c r="C348" s="1" t="str">
        <f>IFERROR(INDEX(Players!$D$4:$D$503,MATCH(345,Players!$L$4:$L$503,0)),"")</f>
        <v/>
      </c>
      <c r="D348" s="7" t="str">
        <f>IFERROR(INDEX(Players!$E$4:$E$503,MATCH(345,Players!$L$4:$L$503,0)),"")</f>
        <v/>
      </c>
      <c r="E348" s="1" t="str">
        <f>IFERROR(INDEX(Players!$F$4:$F$503,MATCH(345,Players!$L$4:$L$503,0)),"")</f>
        <v/>
      </c>
      <c r="F348" s="1" t="str">
        <f>IFERROR(INDEX(Players!$I$4:$I$503,MATCH(345,Players!$L$4:$L$503,0)),"")</f>
        <v/>
      </c>
    </row>
    <row r="349" spans="1:6">
      <c r="A349" s="1" t="str">
        <f>IFERROR(INDEX(Players!$B$4:$B$503,MATCH(346,Players!$L$4:$L$503,0)),"")</f>
        <v/>
      </c>
      <c r="B349" s="1" t="str">
        <f>IFERROR(INDEX(Players!$C$4:$C$503,MATCH(346,Players!$L$4:$L$503,0)),"")</f>
        <v/>
      </c>
      <c r="C349" s="1" t="str">
        <f>IFERROR(INDEX(Players!$D$4:$D$503,MATCH(346,Players!$L$4:$L$503,0)),"")</f>
        <v/>
      </c>
      <c r="D349" s="7" t="str">
        <f>IFERROR(INDEX(Players!$E$4:$E$503,MATCH(346,Players!$L$4:$L$503,0)),"")</f>
        <v/>
      </c>
      <c r="E349" s="1" t="str">
        <f>IFERROR(INDEX(Players!$F$4:$F$503,MATCH(346,Players!$L$4:$L$503,0)),"")</f>
        <v/>
      </c>
      <c r="F349" s="1" t="str">
        <f>IFERROR(INDEX(Players!$I$4:$I$503,MATCH(346,Players!$L$4:$L$503,0)),"")</f>
        <v/>
      </c>
    </row>
    <row r="350" spans="1:6">
      <c r="A350" s="1" t="str">
        <f>IFERROR(INDEX(Players!$B$4:$B$503,MATCH(347,Players!$L$4:$L$503,0)),"")</f>
        <v/>
      </c>
      <c r="B350" s="1" t="str">
        <f>IFERROR(INDEX(Players!$C$4:$C$503,MATCH(347,Players!$L$4:$L$503,0)),"")</f>
        <v/>
      </c>
      <c r="C350" s="1" t="str">
        <f>IFERROR(INDEX(Players!$D$4:$D$503,MATCH(347,Players!$L$4:$L$503,0)),"")</f>
        <v/>
      </c>
      <c r="D350" s="7" t="str">
        <f>IFERROR(INDEX(Players!$E$4:$E$503,MATCH(347,Players!$L$4:$L$503,0)),"")</f>
        <v/>
      </c>
      <c r="E350" s="1" t="str">
        <f>IFERROR(INDEX(Players!$F$4:$F$503,MATCH(347,Players!$L$4:$L$503,0)),"")</f>
        <v/>
      </c>
      <c r="F350" s="1" t="str">
        <f>IFERROR(INDEX(Players!$I$4:$I$503,MATCH(347,Players!$L$4:$L$503,0)),"")</f>
        <v/>
      </c>
    </row>
    <row r="351" spans="1:6">
      <c r="A351" s="1" t="str">
        <f>IFERROR(INDEX(Players!$B$4:$B$503,MATCH(348,Players!$L$4:$L$503,0)),"")</f>
        <v/>
      </c>
      <c r="B351" s="1" t="str">
        <f>IFERROR(INDEX(Players!$C$4:$C$503,MATCH(348,Players!$L$4:$L$503,0)),"")</f>
        <v/>
      </c>
      <c r="C351" s="1" t="str">
        <f>IFERROR(INDEX(Players!$D$4:$D$503,MATCH(348,Players!$L$4:$L$503,0)),"")</f>
        <v/>
      </c>
      <c r="D351" s="7" t="str">
        <f>IFERROR(INDEX(Players!$E$4:$E$503,MATCH(348,Players!$L$4:$L$503,0)),"")</f>
        <v/>
      </c>
      <c r="E351" s="1" t="str">
        <f>IFERROR(INDEX(Players!$F$4:$F$503,MATCH(348,Players!$L$4:$L$503,0)),"")</f>
        <v/>
      </c>
      <c r="F351" s="1" t="str">
        <f>IFERROR(INDEX(Players!$I$4:$I$503,MATCH(348,Players!$L$4:$L$503,0)),"")</f>
        <v/>
      </c>
    </row>
    <row r="352" spans="1:6">
      <c r="A352" s="1" t="str">
        <f>IFERROR(INDEX(Players!$B$4:$B$503,MATCH(349,Players!$L$4:$L$503,0)),"")</f>
        <v/>
      </c>
      <c r="B352" s="1" t="str">
        <f>IFERROR(INDEX(Players!$C$4:$C$503,MATCH(349,Players!$L$4:$L$503,0)),"")</f>
        <v/>
      </c>
      <c r="C352" s="1" t="str">
        <f>IFERROR(INDEX(Players!$D$4:$D$503,MATCH(349,Players!$L$4:$L$503,0)),"")</f>
        <v/>
      </c>
      <c r="D352" s="7" t="str">
        <f>IFERROR(INDEX(Players!$E$4:$E$503,MATCH(349,Players!$L$4:$L$503,0)),"")</f>
        <v/>
      </c>
      <c r="E352" s="1" t="str">
        <f>IFERROR(INDEX(Players!$F$4:$F$503,MATCH(349,Players!$L$4:$L$503,0)),"")</f>
        <v/>
      </c>
      <c r="F352" s="1" t="str">
        <f>IFERROR(INDEX(Players!$I$4:$I$503,MATCH(349,Players!$L$4:$L$503,0)),"")</f>
        <v/>
      </c>
    </row>
    <row r="353" spans="1:6">
      <c r="A353" s="1" t="str">
        <f>IFERROR(INDEX(Players!$B$4:$B$503,MATCH(350,Players!$L$4:$L$503,0)),"")</f>
        <v/>
      </c>
      <c r="B353" s="1" t="str">
        <f>IFERROR(INDEX(Players!$C$4:$C$503,MATCH(350,Players!$L$4:$L$503,0)),"")</f>
        <v/>
      </c>
      <c r="C353" s="1" t="str">
        <f>IFERROR(INDEX(Players!$D$4:$D$503,MATCH(350,Players!$L$4:$L$503,0)),"")</f>
        <v/>
      </c>
      <c r="D353" s="7" t="str">
        <f>IFERROR(INDEX(Players!$E$4:$E$503,MATCH(350,Players!$L$4:$L$503,0)),"")</f>
        <v/>
      </c>
      <c r="E353" s="1" t="str">
        <f>IFERROR(INDEX(Players!$F$4:$F$503,MATCH(350,Players!$L$4:$L$503,0)),"")</f>
        <v/>
      </c>
      <c r="F353" s="1" t="str">
        <f>IFERROR(INDEX(Players!$I$4:$I$503,MATCH(350,Players!$L$4:$L$503,0)),"")</f>
        <v/>
      </c>
    </row>
    <row r="354" spans="1:6">
      <c r="A354" s="1" t="str">
        <f>IFERROR(INDEX(Players!$B$4:$B$503,MATCH(351,Players!$L$4:$L$503,0)),"")</f>
        <v/>
      </c>
      <c r="B354" s="1" t="str">
        <f>IFERROR(INDEX(Players!$C$4:$C$503,MATCH(351,Players!$L$4:$L$503,0)),"")</f>
        <v/>
      </c>
      <c r="C354" s="1" t="str">
        <f>IFERROR(INDEX(Players!$D$4:$D$503,MATCH(351,Players!$L$4:$L$503,0)),"")</f>
        <v/>
      </c>
      <c r="D354" s="7" t="str">
        <f>IFERROR(INDEX(Players!$E$4:$E$503,MATCH(351,Players!$L$4:$L$503,0)),"")</f>
        <v/>
      </c>
      <c r="E354" s="1" t="str">
        <f>IFERROR(INDEX(Players!$F$4:$F$503,MATCH(351,Players!$L$4:$L$503,0)),"")</f>
        <v/>
      </c>
      <c r="F354" s="1" t="str">
        <f>IFERROR(INDEX(Players!$I$4:$I$503,MATCH(351,Players!$L$4:$L$503,0)),"")</f>
        <v/>
      </c>
    </row>
    <row r="355" spans="1:6">
      <c r="A355" s="1" t="str">
        <f>IFERROR(INDEX(Players!$B$4:$B$503,MATCH(352,Players!$L$4:$L$503,0)),"")</f>
        <v/>
      </c>
      <c r="B355" s="1" t="str">
        <f>IFERROR(INDEX(Players!$C$4:$C$503,MATCH(352,Players!$L$4:$L$503,0)),"")</f>
        <v/>
      </c>
      <c r="C355" s="1" t="str">
        <f>IFERROR(INDEX(Players!$D$4:$D$503,MATCH(352,Players!$L$4:$L$503,0)),"")</f>
        <v/>
      </c>
      <c r="D355" s="7" t="str">
        <f>IFERROR(INDEX(Players!$E$4:$E$503,MATCH(352,Players!$L$4:$L$503,0)),"")</f>
        <v/>
      </c>
      <c r="E355" s="1" t="str">
        <f>IFERROR(INDEX(Players!$F$4:$F$503,MATCH(352,Players!$L$4:$L$503,0)),"")</f>
        <v/>
      </c>
      <c r="F355" s="1" t="str">
        <f>IFERROR(INDEX(Players!$I$4:$I$503,MATCH(352,Players!$L$4:$L$503,0)),"")</f>
        <v/>
      </c>
    </row>
    <row r="356" spans="1:6">
      <c r="A356" s="1" t="str">
        <f>IFERROR(INDEX(Players!$B$4:$B$503,MATCH(353,Players!$L$4:$L$503,0)),"")</f>
        <v/>
      </c>
      <c r="B356" s="1" t="str">
        <f>IFERROR(INDEX(Players!$C$4:$C$503,MATCH(353,Players!$L$4:$L$503,0)),"")</f>
        <v/>
      </c>
      <c r="C356" s="1" t="str">
        <f>IFERROR(INDEX(Players!$D$4:$D$503,MATCH(353,Players!$L$4:$L$503,0)),"")</f>
        <v/>
      </c>
      <c r="D356" s="7" t="str">
        <f>IFERROR(INDEX(Players!$E$4:$E$503,MATCH(353,Players!$L$4:$L$503,0)),"")</f>
        <v/>
      </c>
      <c r="E356" s="1" t="str">
        <f>IFERROR(INDEX(Players!$F$4:$F$503,MATCH(353,Players!$L$4:$L$503,0)),"")</f>
        <v/>
      </c>
      <c r="F356" s="1" t="str">
        <f>IFERROR(INDEX(Players!$I$4:$I$503,MATCH(353,Players!$L$4:$L$503,0)),"")</f>
        <v/>
      </c>
    </row>
    <row r="357" spans="1:6">
      <c r="A357" s="1" t="str">
        <f>IFERROR(INDEX(Players!$B$4:$B$503,MATCH(354,Players!$L$4:$L$503,0)),"")</f>
        <v/>
      </c>
      <c r="B357" s="1" t="str">
        <f>IFERROR(INDEX(Players!$C$4:$C$503,MATCH(354,Players!$L$4:$L$503,0)),"")</f>
        <v/>
      </c>
      <c r="C357" s="1" t="str">
        <f>IFERROR(INDEX(Players!$D$4:$D$503,MATCH(354,Players!$L$4:$L$503,0)),"")</f>
        <v/>
      </c>
      <c r="D357" s="7" t="str">
        <f>IFERROR(INDEX(Players!$E$4:$E$503,MATCH(354,Players!$L$4:$L$503,0)),"")</f>
        <v/>
      </c>
      <c r="E357" s="1" t="str">
        <f>IFERROR(INDEX(Players!$F$4:$F$503,MATCH(354,Players!$L$4:$L$503,0)),"")</f>
        <v/>
      </c>
      <c r="F357" s="1" t="str">
        <f>IFERROR(INDEX(Players!$I$4:$I$503,MATCH(354,Players!$L$4:$L$503,0)),"")</f>
        <v/>
      </c>
    </row>
    <row r="358" spans="1:6">
      <c r="A358" s="1" t="str">
        <f>IFERROR(INDEX(Players!$B$4:$B$503,MATCH(355,Players!$L$4:$L$503,0)),"")</f>
        <v/>
      </c>
      <c r="B358" s="1" t="str">
        <f>IFERROR(INDEX(Players!$C$4:$C$503,MATCH(355,Players!$L$4:$L$503,0)),"")</f>
        <v/>
      </c>
      <c r="C358" s="1" t="str">
        <f>IFERROR(INDEX(Players!$D$4:$D$503,MATCH(355,Players!$L$4:$L$503,0)),"")</f>
        <v/>
      </c>
      <c r="D358" s="7" t="str">
        <f>IFERROR(INDEX(Players!$E$4:$E$503,MATCH(355,Players!$L$4:$L$503,0)),"")</f>
        <v/>
      </c>
      <c r="E358" s="1" t="str">
        <f>IFERROR(INDEX(Players!$F$4:$F$503,MATCH(355,Players!$L$4:$L$503,0)),"")</f>
        <v/>
      </c>
      <c r="F358" s="1" t="str">
        <f>IFERROR(INDEX(Players!$I$4:$I$503,MATCH(355,Players!$L$4:$L$503,0)),"")</f>
        <v/>
      </c>
    </row>
    <row r="359" spans="1:6">
      <c r="A359" s="1" t="str">
        <f>IFERROR(INDEX(Players!$B$4:$B$503,MATCH(356,Players!$L$4:$L$503,0)),"")</f>
        <v/>
      </c>
      <c r="B359" s="1" t="str">
        <f>IFERROR(INDEX(Players!$C$4:$C$503,MATCH(356,Players!$L$4:$L$503,0)),"")</f>
        <v/>
      </c>
      <c r="C359" s="1" t="str">
        <f>IFERROR(INDEX(Players!$D$4:$D$503,MATCH(356,Players!$L$4:$L$503,0)),"")</f>
        <v/>
      </c>
      <c r="D359" s="7" t="str">
        <f>IFERROR(INDEX(Players!$E$4:$E$503,MATCH(356,Players!$L$4:$L$503,0)),"")</f>
        <v/>
      </c>
      <c r="E359" s="1" t="str">
        <f>IFERROR(INDEX(Players!$F$4:$F$503,MATCH(356,Players!$L$4:$L$503,0)),"")</f>
        <v/>
      </c>
      <c r="F359" s="1" t="str">
        <f>IFERROR(INDEX(Players!$I$4:$I$503,MATCH(356,Players!$L$4:$L$503,0)),"")</f>
        <v/>
      </c>
    </row>
    <row r="360" spans="1:6">
      <c r="A360" s="1" t="str">
        <f>IFERROR(INDEX(Players!$B$4:$B$503,MATCH(357,Players!$L$4:$L$503,0)),"")</f>
        <v/>
      </c>
      <c r="B360" s="1" t="str">
        <f>IFERROR(INDEX(Players!$C$4:$C$503,MATCH(357,Players!$L$4:$L$503,0)),"")</f>
        <v/>
      </c>
      <c r="C360" s="1" t="str">
        <f>IFERROR(INDEX(Players!$D$4:$D$503,MATCH(357,Players!$L$4:$L$503,0)),"")</f>
        <v/>
      </c>
      <c r="D360" s="7" t="str">
        <f>IFERROR(INDEX(Players!$E$4:$E$503,MATCH(357,Players!$L$4:$L$503,0)),"")</f>
        <v/>
      </c>
      <c r="E360" s="1" t="str">
        <f>IFERROR(INDEX(Players!$F$4:$F$503,MATCH(357,Players!$L$4:$L$503,0)),"")</f>
        <v/>
      </c>
      <c r="F360" s="1" t="str">
        <f>IFERROR(INDEX(Players!$I$4:$I$503,MATCH(357,Players!$L$4:$L$503,0)),"")</f>
        <v/>
      </c>
    </row>
    <row r="361" spans="1:6">
      <c r="A361" s="1" t="str">
        <f>IFERROR(INDEX(Players!$B$4:$B$503,MATCH(358,Players!$L$4:$L$503,0)),"")</f>
        <v/>
      </c>
      <c r="B361" s="1" t="str">
        <f>IFERROR(INDEX(Players!$C$4:$C$503,MATCH(358,Players!$L$4:$L$503,0)),"")</f>
        <v/>
      </c>
      <c r="C361" s="1" t="str">
        <f>IFERROR(INDEX(Players!$D$4:$D$503,MATCH(358,Players!$L$4:$L$503,0)),"")</f>
        <v/>
      </c>
      <c r="D361" s="7" t="str">
        <f>IFERROR(INDEX(Players!$E$4:$E$503,MATCH(358,Players!$L$4:$L$503,0)),"")</f>
        <v/>
      </c>
      <c r="E361" s="1" t="str">
        <f>IFERROR(INDEX(Players!$F$4:$F$503,MATCH(358,Players!$L$4:$L$503,0)),"")</f>
        <v/>
      </c>
      <c r="F361" s="1" t="str">
        <f>IFERROR(INDEX(Players!$I$4:$I$503,MATCH(358,Players!$L$4:$L$503,0)),"")</f>
        <v/>
      </c>
    </row>
    <row r="362" spans="1:6">
      <c r="A362" s="1" t="str">
        <f>IFERROR(INDEX(Players!$B$4:$B$503,MATCH(359,Players!$L$4:$L$503,0)),"")</f>
        <v/>
      </c>
      <c r="B362" s="1" t="str">
        <f>IFERROR(INDEX(Players!$C$4:$C$503,MATCH(359,Players!$L$4:$L$503,0)),"")</f>
        <v/>
      </c>
      <c r="C362" s="1" t="str">
        <f>IFERROR(INDEX(Players!$D$4:$D$503,MATCH(359,Players!$L$4:$L$503,0)),"")</f>
        <v/>
      </c>
      <c r="D362" s="7" t="str">
        <f>IFERROR(INDEX(Players!$E$4:$E$503,MATCH(359,Players!$L$4:$L$503,0)),"")</f>
        <v/>
      </c>
      <c r="E362" s="1" t="str">
        <f>IFERROR(INDEX(Players!$F$4:$F$503,MATCH(359,Players!$L$4:$L$503,0)),"")</f>
        <v/>
      </c>
      <c r="F362" s="1" t="str">
        <f>IFERROR(INDEX(Players!$I$4:$I$503,MATCH(359,Players!$L$4:$L$503,0)),"")</f>
        <v/>
      </c>
    </row>
    <row r="363" spans="1:6">
      <c r="A363" s="1" t="str">
        <f>IFERROR(INDEX(Players!$B$4:$B$503,MATCH(360,Players!$L$4:$L$503,0)),"")</f>
        <v/>
      </c>
      <c r="B363" s="1" t="str">
        <f>IFERROR(INDEX(Players!$C$4:$C$503,MATCH(360,Players!$L$4:$L$503,0)),"")</f>
        <v/>
      </c>
      <c r="C363" s="1" t="str">
        <f>IFERROR(INDEX(Players!$D$4:$D$503,MATCH(360,Players!$L$4:$L$503,0)),"")</f>
        <v/>
      </c>
      <c r="D363" s="7" t="str">
        <f>IFERROR(INDEX(Players!$E$4:$E$503,MATCH(360,Players!$L$4:$L$503,0)),"")</f>
        <v/>
      </c>
      <c r="E363" s="1" t="str">
        <f>IFERROR(INDEX(Players!$F$4:$F$503,MATCH(360,Players!$L$4:$L$503,0)),"")</f>
        <v/>
      </c>
      <c r="F363" s="1" t="str">
        <f>IFERROR(INDEX(Players!$I$4:$I$503,MATCH(360,Players!$L$4:$L$503,0)),"")</f>
        <v/>
      </c>
    </row>
    <row r="364" spans="1:6">
      <c r="A364" s="1" t="str">
        <f>IFERROR(INDEX(Players!$B$4:$B$503,MATCH(361,Players!$L$4:$L$503,0)),"")</f>
        <v/>
      </c>
      <c r="B364" s="1" t="str">
        <f>IFERROR(INDEX(Players!$C$4:$C$503,MATCH(361,Players!$L$4:$L$503,0)),"")</f>
        <v/>
      </c>
      <c r="C364" s="1" t="str">
        <f>IFERROR(INDEX(Players!$D$4:$D$503,MATCH(361,Players!$L$4:$L$503,0)),"")</f>
        <v/>
      </c>
      <c r="D364" s="7" t="str">
        <f>IFERROR(INDEX(Players!$E$4:$E$503,MATCH(361,Players!$L$4:$L$503,0)),"")</f>
        <v/>
      </c>
      <c r="E364" s="1" t="str">
        <f>IFERROR(INDEX(Players!$F$4:$F$503,MATCH(361,Players!$L$4:$L$503,0)),"")</f>
        <v/>
      </c>
      <c r="F364" s="1" t="str">
        <f>IFERROR(INDEX(Players!$I$4:$I$503,MATCH(361,Players!$L$4:$L$503,0)),"")</f>
        <v/>
      </c>
    </row>
    <row r="365" spans="1:6">
      <c r="A365" s="1" t="str">
        <f>IFERROR(INDEX(Players!$B$4:$B$503,MATCH(362,Players!$L$4:$L$503,0)),"")</f>
        <v/>
      </c>
      <c r="B365" s="1" t="str">
        <f>IFERROR(INDEX(Players!$C$4:$C$503,MATCH(362,Players!$L$4:$L$503,0)),"")</f>
        <v/>
      </c>
      <c r="C365" s="1" t="str">
        <f>IFERROR(INDEX(Players!$D$4:$D$503,MATCH(362,Players!$L$4:$L$503,0)),"")</f>
        <v/>
      </c>
      <c r="D365" s="7" t="str">
        <f>IFERROR(INDEX(Players!$E$4:$E$503,MATCH(362,Players!$L$4:$L$503,0)),"")</f>
        <v/>
      </c>
      <c r="E365" s="1" t="str">
        <f>IFERROR(INDEX(Players!$F$4:$F$503,MATCH(362,Players!$L$4:$L$503,0)),"")</f>
        <v/>
      </c>
      <c r="F365" s="1" t="str">
        <f>IFERROR(INDEX(Players!$I$4:$I$503,MATCH(362,Players!$L$4:$L$503,0)),"")</f>
        <v/>
      </c>
    </row>
    <row r="366" spans="1:6">
      <c r="A366" s="1" t="str">
        <f>IFERROR(INDEX(Players!$B$4:$B$503,MATCH(363,Players!$L$4:$L$503,0)),"")</f>
        <v/>
      </c>
      <c r="B366" s="1" t="str">
        <f>IFERROR(INDEX(Players!$C$4:$C$503,MATCH(363,Players!$L$4:$L$503,0)),"")</f>
        <v/>
      </c>
      <c r="C366" s="1" t="str">
        <f>IFERROR(INDEX(Players!$D$4:$D$503,MATCH(363,Players!$L$4:$L$503,0)),"")</f>
        <v/>
      </c>
      <c r="D366" s="7" t="str">
        <f>IFERROR(INDEX(Players!$E$4:$E$503,MATCH(363,Players!$L$4:$L$503,0)),"")</f>
        <v/>
      </c>
      <c r="E366" s="1" t="str">
        <f>IFERROR(INDEX(Players!$F$4:$F$503,MATCH(363,Players!$L$4:$L$503,0)),"")</f>
        <v/>
      </c>
      <c r="F366" s="1" t="str">
        <f>IFERROR(INDEX(Players!$I$4:$I$503,MATCH(363,Players!$L$4:$L$503,0)),"")</f>
        <v/>
      </c>
    </row>
    <row r="367" spans="1:6">
      <c r="A367" s="1" t="str">
        <f>IFERROR(INDEX(Players!$B$4:$B$503,MATCH(364,Players!$L$4:$L$503,0)),"")</f>
        <v/>
      </c>
      <c r="B367" s="1" t="str">
        <f>IFERROR(INDEX(Players!$C$4:$C$503,MATCH(364,Players!$L$4:$L$503,0)),"")</f>
        <v/>
      </c>
      <c r="C367" s="1" t="str">
        <f>IFERROR(INDEX(Players!$D$4:$D$503,MATCH(364,Players!$L$4:$L$503,0)),"")</f>
        <v/>
      </c>
      <c r="D367" s="7" t="str">
        <f>IFERROR(INDEX(Players!$E$4:$E$503,MATCH(364,Players!$L$4:$L$503,0)),"")</f>
        <v/>
      </c>
      <c r="E367" s="1" t="str">
        <f>IFERROR(INDEX(Players!$F$4:$F$503,MATCH(364,Players!$L$4:$L$503,0)),"")</f>
        <v/>
      </c>
      <c r="F367" s="1" t="str">
        <f>IFERROR(INDEX(Players!$I$4:$I$503,MATCH(364,Players!$L$4:$L$503,0)),"")</f>
        <v/>
      </c>
    </row>
    <row r="368" spans="1:6">
      <c r="A368" s="1" t="str">
        <f>IFERROR(INDEX(Players!$B$4:$B$503,MATCH(365,Players!$L$4:$L$503,0)),"")</f>
        <v/>
      </c>
      <c r="B368" s="1" t="str">
        <f>IFERROR(INDEX(Players!$C$4:$C$503,MATCH(365,Players!$L$4:$L$503,0)),"")</f>
        <v/>
      </c>
      <c r="C368" s="1" t="str">
        <f>IFERROR(INDEX(Players!$D$4:$D$503,MATCH(365,Players!$L$4:$L$503,0)),"")</f>
        <v/>
      </c>
      <c r="D368" s="7" t="str">
        <f>IFERROR(INDEX(Players!$E$4:$E$503,MATCH(365,Players!$L$4:$L$503,0)),"")</f>
        <v/>
      </c>
      <c r="E368" s="1" t="str">
        <f>IFERROR(INDEX(Players!$F$4:$F$503,MATCH(365,Players!$L$4:$L$503,0)),"")</f>
        <v/>
      </c>
      <c r="F368" s="1" t="str">
        <f>IFERROR(INDEX(Players!$I$4:$I$503,MATCH(365,Players!$L$4:$L$503,0)),"")</f>
        <v/>
      </c>
    </row>
    <row r="369" spans="1:6">
      <c r="A369" s="1" t="str">
        <f>IFERROR(INDEX(Players!$B$4:$B$503,MATCH(366,Players!$L$4:$L$503,0)),"")</f>
        <v/>
      </c>
      <c r="B369" s="1" t="str">
        <f>IFERROR(INDEX(Players!$C$4:$C$503,MATCH(366,Players!$L$4:$L$503,0)),"")</f>
        <v/>
      </c>
      <c r="C369" s="1" t="str">
        <f>IFERROR(INDEX(Players!$D$4:$D$503,MATCH(366,Players!$L$4:$L$503,0)),"")</f>
        <v/>
      </c>
      <c r="D369" s="7" t="str">
        <f>IFERROR(INDEX(Players!$E$4:$E$503,MATCH(366,Players!$L$4:$L$503,0)),"")</f>
        <v/>
      </c>
      <c r="E369" s="1" t="str">
        <f>IFERROR(INDEX(Players!$F$4:$F$503,MATCH(366,Players!$L$4:$L$503,0)),"")</f>
        <v/>
      </c>
      <c r="F369" s="1" t="str">
        <f>IFERROR(INDEX(Players!$I$4:$I$503,MATCH(366,Players!$L$4:$L$503,0)),"")</f>
        <v/>
      </c>
    </row>
    <row r="370" spans="1:6">
      <c r="A370" s="1" t="str">
        <f>IFERROR(INDEX(Players!$B$4:$B$503,MATCH(367,Players!$L$4:$L$503,0)),"")</f>
        <v/>
      </c>
      <c r="B370" s="1" t="str">
        <f>IFERROR(INDEX(Players!$C$4:$C$503,MATCH(367,Players!$L$4:$L$503,0)),"")</f>
        <v/>
      </c>
      <c r="C370" s="1" t="str">
        <f>IFERROR(INDEX(Players!$D$4:$D$503,MATCH(367,Players!$L$4:$L$503,0)),"")</f>
        <v/>
      </c>
      <c r="D370" s="7" t="str">
        <f>IFERROR(INDEX(Players!$E$4:$E$503,MATCH(367,Players!$L$4:$L$503,0)),"")</f>
        <v/>
      </c>
      <c r="E370" s="1" t="str">
        <f>IFERROR(INDEX(Players!$F$4:$F$503,MATCH(367,Players!$L$4:$L$503,0)),"")</f>
        <v/>
      </c>
      <c r="F370" s="1" t="str">
        <f>IFERROR(INDEX(Players!$I$4:$I$503,MATCH(367,Players!$L$4:$L$503,0)),"")</f>
        <v/>
      </c>
    </row>
    <row r="371" spans="1:6">
      <c r="A371" s="1" t="str">
        <f>IFERROR(INDEX(Players!$B$4:$B$503,MATCH(368,Players!$L$4:$L$503,0)),"")</f>
        <v/>
      </c>
      <c r="B371" s="1" t="str">
        <f>IFERROR(INDEX(Players!$C$4:$C$503,MATCH(368,Players!$L$4:$L$503,0)),"")</f>
        <v/>
      </c>
      <c r="C371" s="1" t="str">
        <f>IFERROR(INDEX(Players!$D$4:$D$503,MATCH(368,Players!$L$4:$L$503,0)),"")</f>
        <v/>
      </c>
      <c r="D371" s="7" t="str">
        <f>IFERROR(INDEX(Players!$E$4:$E$503,MATCH(368,Players!$L$4:$L$503,0)),"")</f>
        <v/>
      </c>
      <c r="E371" s="1" t="str">
        <f>IFERROR(INDEX(Players!$F$4:$F$503,MATCH(368,Players!$L$4:$L$503,0)),"")</f>
        <v/>
      </c>
      <c r="F371" s="1" t="str">
        <f>IFERROR(INDEX(Players!$I$4:$I$503,MATCH(368,Players!$L$4:$L$503,0)),"")</f>
        <v/>
      </c>
    </row>
    <row r="372" spans="1:6">
      <c r="A372" s="1" t="str">
        <f>IFERROR(INDEX(Players!$B$4:$B$503,MATCH(369,Players!$L$4:$L$503,0)),"")</f>
        <v/>
      </c>
      <c r="B372" s="1" t="str">
        <f>IFERROR(INDEX(Players!$C$4:$C$503,MATCH(369,Players!$L$4:$L$503,0)),"")</f>
        <v/>
      </c>
      <c r="C372" s="1" t="str">
        <f>IFERROR(INDEX(Players!$D$4:$D$503,MATCH(369,Players!$L$4:$L$503,0)),"")</f>
        <v/>
      </c>
      <c r="D372" s="7" t="str">
        <f>IFERROR(INDEX(Players!$E$4:$E$503,MATCH(369,Players!$L$4:$L$503,0)),"")</f>
        <v/>
      </c>
      <c r="E372" s="1" t="str">
        <f>IFERROR(INDEX(Players!$F$4:$F$503,MATCH(369,Players!$L$4:$L$503,0)),"")</f>
        <v/>
      </c>
      <c r="F372" s="1" t="str">
        <f>IFERROR(INDEX(Players!$I$4:$I$503,MATCH(369,Players!$L$4:$L$503,0)),"")</f>
        <v/>
      </c>
    </row>
    <row r="373" spans="1:6">
      <c r="A373" s="1" t="str">
        <f>IFERROR(INDEX(Players!$B$4:$B$503,MATCH(370,Players!$L$4:$L$503,0)),"")</f>
        <v/>
      </c>
      <c r="B373" s="1" t="str">
        <f>IFERROR(INDEX(Players!$C$4:$C$503,MATCH(370,Players!$L$4:$L$503,0)),"")</f>
        <v/>
      </c>
      <c r="C373" s="1" t="str">
        <f>IFERROR(INDEX(Players!$D$4:$D$503,MATCH(370,Players!$L$4:$L$503,0)),"")</f>
        <v/>
      </c>
      <c r="D373" s="7" t="str">
        <f>IFERROR(INDEX(Players!$E$4:$E$503,MATCH(370,Players!$L$4:$L$503,0)),"")</f>
        <v/>
      </c>
      <c r="E373" s="1" t="str">
        <f>IFERROR(INDEX(Players!$F$4:$F$503,MATCH(370,Players!$L$4:$L$503,0)),"")</f>
        <v/>
      </c>
      <c r="F373" s="1" t="str">
        <f>IFERROR(INDEX(Players!$I$4:$I$503,MATCH(370,Players!$L$4:$L$503,0)),"")</f>
        <v/>
      </c>
    </row>
    <row r="374" spans="1:6">
      <c r="A374" s="1" t="str">
        <f>IFERROR(INDEX(Players!$B$4:$B$503,MATCH(371,Players!$L$4:$L$503,0)),"")</f>
        <v/>
      </c>
      <c r="B374" s="1" t="str">
        <f>IFERROR(INDEX(Players!$C$4:$C$503,MATCH(371,Players!$L$4:$L$503,0)),"")</f>
        <v/>
      </c>
      <c r="C374" s="1" t="str">
        <f>IFERROR(INDEX(Players!$D$4:$D$503,MATCH(371,Players!$L$4:$L$503,0)),"")</f>
        <v/>
      </c>
      <c r="D374" s="7" t="str">
        <f>IFERROR(INDEX(Players!$E$4:$E$503,MATCH(371,Players!$L$4:$L$503,0)),"")</f>
        <v/>
      </c>
      <c r="E374" s="1" t="str">
        <f>IFERROR(INDEX(Players!$F$4:$F$503,MATCH(371,Players!$L$4:$L$503,0)),"")</f>
        <v/>
      </c>
      <c r="F374" s="1" t="str">
        <f>IFERROR(INDEX(Players!$I$4:$I$503,MATCH(371,Players!$L$4:$L$503,0)),"")</f>
        <v/>
      </c>
    </row>
    <row r="375" spans="1:6">
      <c r="A375" s="1" t="str">
        <f>IFERROR(INDEX(Players!$B$4:$B$503,MATCH(372,Players!$L$4:$L$503,0)),"")</f>
        <v/>
      </c>
      <c r="B375" s="1" t="str">
        <f>IFERROR(INDEX(Players!$C$4:$C$503,MATCH(372,Players!$L$4:$L$503,0)),"")</f>
        <v/>
      </c>
      <c r="C375" s="1" t="str">
        <f>IFERROR(INDEX(Players!$D$4:$D$503,MATCH(372,Players!$L$4:$L$503,0)),"")</f>
        <v/>
      </c>
      <c r="D375" s="7" t="str">
        <f>IFERROR(INDEX(Players!$E$4:$E$503,MATCH(372,Players!$L$4:$L$503,0)),"")</f>
        <v/>
      </c>
      <c r="E375" s="1" t="str">
        <f>IFERROR(INDEX(Players!$F$4:$F$503,MATCH(372,Players!$L$4:$L$503,0)),"")</f>
        <v/>
      </c>
      <c r="F375" s="1" t="str">
        <f>IFERROR(INDEX(Players!$I$4:$I$503,MATCH(372,Players!$L$4:$L$503,0)),"")</f>
        <v/>
      </c>
    </row>
    <row r="376" spans="1:6">
      <c r="A376" s="1" t="str">
        <f>IFERROR(INDEX(Players!$B$4:$B$503,MATCH(373,Players!$L$4:$L$503,0)),"")</f>
        <v/>
      </c>
      <c r="B376" s="1" t="str">
        <f>IFERROR(INDEX(Players!$C$4:$C$503,MATCH(373,Players!$L$4:$L$503,0)),"")</f>
        <v/>
      </c>
      <c r="C376" s="1" t="str">
        <f>IFERROR(INDEX(Players!$D$4:$D$503,MATCH(373,Players!$L$4:$L$503,0)),"")</f>
        <v/>
      </c>
      <c r="D376" s="7" t="str">
        <f>IFERROR(INDEX(Players!$E$4:$E$503,MATCH(373,Players!$L$4:$L$503,0)),"")</f>
        <v/>
      </c>
      <c r="E376" s="1" t="str">
        <f>IFERROR(INDEX(Players!$F$4:$F$503,MATCH(373,Players!$L$4:$L$503,0)),"")</f>
        <v/>
      </c>
      <c r="F376" s="1" t="str">
        <f>IFERROR(INDEX(Players!$I$4:$I$503,MATCH(373,Players!$L$4:$L$503,0)),"")</f>
        <v/>
      </c>
    </row>
    <row r="377" spans="1:6">
      <c r="A377" s="1" t="str">
        <f>IFERROR(INDEX(Players!$B$4:$B$503,MATCH(374,Players!$L$4:$L$503,0)),"")</f>
        <v/>
      </c>
      <c r="B377" s="1" t="str">
        <f>IFERROR(INDEX(Players!$C$4:$C$503,MATCH(374,Players!$L$4:$L$503,0)),"")</f>
        <v/>
      </c>
      <c r="C377" s="1" t="str">
        <f>IFERROR(INDEX(Players!$D$4:$D$503,MATCH(374,Players!$L$4:$L$503,0)),"")</f>
        <v/>
      </c>
      <c r="D377" s="7" t="str">
        <f>IFERROR(INDEX(Players!$E$4:$E$503,MATCH(374,Players!$L$4:$L$503,0)),"")</f>
        <v/>
      </c>
      <c r="E377" s="1" t="str">
        <f>IFERROR(INDEX(Players!$F$4:$F$503,MATCH(374,Players!$L$4:$L$503,0)),"")</f>
        <v/>
      </c>
      <c r="F377" s="1" t="str">
        <f>IFERROR(INDEX(Players!$I$4:$I$503,MATCH(374,Players!$L$4:$L$503,0)),"")</f>
        <v/>
      </c>
    </row>
    <row r="378" spans="1:6">
      <c r="A378" s="1" t="str">
        <f>IFERROR(INDEX(Players!$B$4:$B$503,MATCH(375,Players!$L$4:$L$503,0)),"")</f>
        <v/>
      </c>
      <c r="B378" s="1" t="str">
        <f>IFERROR(INDEX(Players!$C$4:$C$503,MATCH(375,Players!$L$4:$L$503,0)),"")</f>
        <v/>
      </c>
      <c r="C378" s="1" t="str">
        <f>IFERROR(INDEX(Players!$D$4:$D$503,MATCH(375,Players!$L$4:$L$503,0)),"")</f>
        <v/>
      </c>
      <c r="D378" s="7" t="str">
        <f>IFERROR(INDEX(Players!$E$4:$E$503,MATCH(375,Players!$L$4:$L$503,0)),"")</f>
        <v/>
      </c>
      <c r="E378" s="1" t="str">
        <f>IFERROR(INDEX(Players!$F$4:$F$503,MATCH(375,Players!$L$4:$L$503,0)),"")</f>
        <v/>
      </c>
      <c r="F378" s="1" t="str">
        <f>IFERROR(INDEX(Players!$I$4:$I$503,MATCH(375,Players!$L$4:$L$503,0)),"")</f>
        <v/>
      </c>
    </row>
    <row r="379" spans="1:6">
      <c r="A379" s="1" t="str">
        <f>IFERROR(INDEX(Players!$B$4:$B$503,MATCH(376,Players!$L$4:$L$503,0)),"")</f>
        <v/>
      </c>
      <c r="B379" s="1" t="str">
        <f>IFERROR(INDEX(Players!$C$4:$C$503,MATCH(376,Players!$L$4:$L$503,0)),"")</f>
        <v/>
      </c>
      <c r="C379" s="1" t="str">
        <f>IFERROR(INDEX(Players!$D$4:$D$503,MATCH(376,Players!$L$4:$L$503,0)),"")</f>
        <v/>
      </c>
      <c r="D379" s="7" t="str">
        <f>IFERROR(INDEX(Players!$E$4:$E$503,MATCH(376,Players!$L$4:$L$503,0)),"")</f>
        <v/>
      </c>
      <c r="E379" s="1" t="str">
        <f>IFERROR(INDEX(Players!$F$4:$F$503,MATCH(376,Players!$L$4:$L$503,0)),"")</f>
        <v/>
      </c>
      <c r="F379" s="1" t="str">
        <f>IFERROR(INDEX(Players!$I$4:$I$503,MATCH(376,Players!$L$4:$L$503,0)),"")</f>
        <v/>
      </c>
    </row>
    <row r="380" spans="1:6">
      <c r="A380" s="1" t="str">
        <f>IFERROR(INDEX(Players!$B$4:$B$503,MATCH(377,Players!$L$4:$L$503,0)),"")</f>
        <v/>
      </c>
      <c r="B380" s="1" t="str">
        <f>IFERROR(INDEX(Players!$C$4:$C$503,MATCH(377,Players!$L$4:$L$503,0)),"")</f>
        <v/>
      </c>
      <c r="C380" s="1" t="str">
        <f>IFERROR(INDEX(Players!$D$4:$D$503,MATCH(377,Players!$L$4:$L$503,0)),"")</f>
        <v/>
      </c>
      <c r="D380" s="7" t="str">
        <f>IFERROR(INDEX(Players!$E$4:$E$503,MATCH(377,Players!$L$4:$L$503,0)),"")</f>
        <v/>
      </c>
      <c r="E380" s="1" t="str">
        <f>IFERROR(INDEX(Players!$F$4:$F$503,MATCH(377,Players!$L$4:$L$503,0)),"")</f>
        <v/>
      </c>
      <c r="F380" s="1" t="str">
        <f>IFERROR(INDEX(Players!$I$4:$I$503,MATCH(377,Players!$L$4:$L$503,0)),"")</f>
        <v/>
      </c>
    </row>
    <row r="381" spans="1:6">
      <c r="A381" s="1" t="str">
        <f>IFERROR(INDEX(Players!$B$4:$B$503,MATCH(378,Players!$L$4:$L$503,0)),"")</f>
        <v/>
      </c>
      <c r="B381" s="1" t="str">
        <f>IFERROR(INDEX(Players!$C$4:$C$503,MATCH(378,Players!$L$4:$L$503,0)),"")</f>
        <v/>
      </c>
      <c r="C381" s="1" t="str">
        <f>IFERROR(INDEX(Players!$D$4:$D$503,MATCH(378,Players!$L$4:$L$503,0)),"")</f>
        <v/>
      </c>
      <c r="D381" s="7" t="str">
        <f>IFERROR(INDEX(Players!$E$4:$E$503,MATCH(378,Players!$L$4:$L$503,0)),"")</f>
        <v/>
      </c>
      <c r="E381" s="1" t="str">
        <f>IFERROR(INDEX(Players!$F$4:$F$503,MATCH(378,Players!$L$4:$L$503,0)),"")</f>
        <v/>
      </c>
      <c r="F381" s="1" t="str">
        <f>IFERROR(INDEX(Players!$I$4:$I$503,MATCH(378,Players!$L$4:$L$503,0)),"")</f>
        <v/>
      </c>
    </row>
    <row r="382" spans="1:6">
      <c r="A382" s="1" t="str">
        <f>IFERROR(INDEX(Players!$B$4:$B$503,MATCH(379,Players!$L$4:$L$503,0)),"")</f>
        <v/>
      </c>
      <c r="B382" s="1" t="str">
        <f>IFERROR(INDEX(Players!$C$4:$C$503,MATCH(379,Players!$L$4:$L$503,0)),"")</f>
        <v/>
      </c>
      <c r="C382" s="1" t="str">
        <f>IFERROR(INDEX(Players!$D$4:$D$503,MATCH(379,Players!$L$4:$L$503,0)),"")</f>
        <v/>
      </c>
      <c r="D382" s="7" t="str">
        <f>IFERROR(INDEX(Players!$E$4:$E$503,MATCH(379,Players!$L$4:$L$503,0)),"")</f>
        <v/>
      </c>
      <c r="E382" s="1" t="str">
        <f>IFERROR(INDEX(Players!$F$4:$F$503,MATCH(379,Players!$L$4:$L$503,0)),"")</f>
        <v/>
      </c>
      <c r="F382" s="1" t="str">
        <f>IFERROR(INDEX(Players!$I$4:$I$503,MATCH(379,Players!$L$4:$L$503,0)),"")</f>
        <v/>
      </c>
    </row>
    <row r="383" spans="1:6">
      <c r="A383" s="1" t="str">
        <f>IFERROR(INDEX(Players!$B$4:$B$503,MATCH(380,Players!$L$4:$L$503,0)),"")</f>
        <v/>
      </c>
      <c r="B383" s="1" t="str">
        <f>IFERROR(INDEX(Players!$C$4:$C$503,MATCH(380,Players!$L$4:$L$503,0)),"")</f>
        <v/>
      </c>
      <c r="C383" s="1" t="str">
        <f>IFERROR(INDEX(Players!$D$4:$D$503,MATCH(380,Players!$L$4:$L$503,0)),"")</f>
        <v/>
      </c>
      <c r="D383" s="7" t="str">
        <f>IFERROR(INDEX(Players!$E$4:$E$503,MATCH(380,Players!$L$4:$L$503,0)),"")</f>
        <v/>
      </c>
      <c r="E383" s="1" t="str">
        <f>IFERROR(INDEX(Players!$F$4:$F$503,MATCH(380,Players!$L$4:$L$503,0)),"")</f>
        <v/>
      </c>
      <c r="F383" s="1" t="str">
        <f>IFERROR(INDEX(Players!$I$4:$I$503,MATCH(380,Players!$L$4:$L$503,0)),"")</f>
        <v/>
      </c>
    </row>
    <row r="384" spans="1:6">
      <c r="A384" s="1" t="str">
        <f>IFERROR(INDEX(Players!$B$4:$B$503,MATCH(381,Players!$L$4:$L$503,0)),"")</f>
        <v/>
      </c>
      <c r="B384" s="1" t="str">
        <f>IFERROR(INDEX(Players!$C$4:$C$503,MATCH(381,Players!$L$4:$L$503,0)),"")</f>
        <v/>
      </c>
      <c r="C384" s="1" t="str">
        <f>IFERROR(INDEX(Players!$D$4:$D$503,MATCH(381,Players!$L$4:$L$503,0)),"")</f>
        <v/>
      </c>
      <c r="D384" s="7" t="str">
        <f>IFERROR(INDEX(Players!$E$4:$E$503,MATCH(381,Players!$L$4:$L$503,0)),"")</f>
        <v/>
      </c>
      <c r="E384" s="1" t="str">
        <f>IFERROR(INDEX(Players!$F$4:$F$503,MATCH(381,Players!$L$4:$L$503,0)),"")</f>
        <v/>
      </c>
      <c r="F384" s="1" t="str">
        <f>IFERROR(INDEX(Players!$I$4:$I$503,MATCH(381,Players!$L$4:$L$503,0)),"")</f>
        <v/>
      </c>
    </row>
    <row r="385" spans="1:6">
      <c r="A385" s="1" t="str">
        <f>IFERROR(INDEX(Players!$B$4:$B$503,MATCH(382,Players!$L$4:$L$503,0)),"")</f>
        <v/>
      </c>
      <c r="B385" s="1" t="str">
        <f>IFERROR(INDEX(Players!$C$4:$C$503,MATCH(382,Players!$L$4:$L$503,0)),"")</f>
        <v/>
      </c>
      <c r="C385" s="1" t="str">
        <f>IFERROR(INDEX(Players!$D$4:$D$503,MATCH(382,Players!$L$4:$L$503,0)),"")</f>
        <v/>
      </c>
      <c r="D385" s="7" t="str">
        <f>IFERROR(INDEX(Players!$E$4:$E$503,MATCH(382,Players!$L$4:$L$503,0)),"")</f>
        <v/>
      </c>
      <c r="E385" s="1" t="str">
        <f>IFERROR(INDEX(Players!$F$4:$F$503,MATCH(382,Players!$L$4:$L$503,0)),"")</f>
        <v/>
      </c>
      <c r="F385" s="1" t="str">
        <f>IFERROR(INDEX(Players!$I$4:$I$503,MATCH(382,Players!$L$4:$L$503,0)),"")</f>
        <v/>
      </c>
    </row>
    <row r="386" spans="1:6">
      <c r="A386" s="1" t="str">
        <f>IFERROR(INDEX(Players!$B$4:$B$503,MATCH(383,Players!$L$4:$L$503,0)),"")</f>
        <v/>
      </c>
      <c r="B386" s="1" t="str">
        <f>IFERROR(INDEX(Players!$C$4:$C$503,MATCH(383,Players!$L$4:$L$503,0)),"")</f>
        <v/>
      </c>
      <c r="C386" s="1" t="str">
        <f>IFERROR(INDEX(Players!$D$4:$D$503,MATCH(383,Players!$L$4:$L$503,0)),"")</f>
        <v/>
      </c>
      <c r="D386" s="7" t="str">
        <f>IFERROR(INDEX(Players!$E$4:$E$503,MATCH(383,Players!$L$4:$L$503,0)),"")</f>
        <v/>
      </c>
      <c r="E386" s="1" t="str">
        <f>IFERROR(INDEX(Players!$F$4:$F$503,MATCH(383,Players!$L$4:$L$503,0)),"")</f>
        <v/>
      </c>
      <c r="F386" s="1" t="str">
        <f>IFERROR(INDEX(Players!$I$4:$I$503,MATCH(383,Players!$L$4:$L$503,0)),"")</f>
        <v/>
      </c>
    </row>
    <row r="387" spans="1:6">
      <c r="A387" s="1" t="str">
        <f>IFERROR(INDEX(Players!$B$4:$B$503,MATCH(384,Players!$L$4:$L$503,0)),"")</f>
        <v/>
      </c>
      <c r="B387" s="1" t="str">
        <f>IFERROR(INDEX(Players!$C$4:$C$503,MATCH(384,Players!$L$4:$L$503,0)),"")</f>
        <v/>
      </c>
      <c r="C387" s="1" t="str">
        <f>IFERROR(INDEX(Players!$D$4:$D$503,MATCH(384,Players!$L$4:$L$503,0)),"")</f>
        <v/>
      </c>
      <c r="D387" s="7" t="str">
        <f>IFERROR(INDEX(Players!$E$4:$E$503,MATCH(384,Players!$L$4:$L$503,0)),"")</f>
        <v/>
      </c>
      <c r="E387" s="1" t="str">
        <f>IFERROR(INDEX(Players!$F$4:$F$503,MATCH(384,Players!$L$4:$L$503,0)),"")</f>
        <v/>
      </c>
      <c r="F387" s="1" t="str">
        <f>IFERROR(INDEX(Players!$I$4:$I$503,MATCH(384,Players!$L$4:$L$503,0)),"")</f>
        <v/>
      </c>
    </row>
    <row r="388" spans="1:6">
      <c r="A388" s="1" t="str">
        <f>IFERROR(INDEX(Players!$B$4:$B$503,MATCH(385,Players!$L$4:$L$503,0)),"")</f>
        <v/>
      </c>
      <c r="B388" s="1" t="str">
        <f>IFERROR(INDEX(Players!$C$4:$C$503,MATCH(385,Players!$L$4:$L$503,0)),"")</f>
        <v/>
      </c>
      <c r="C388" s="1" t="str">
        <f>IFERROR(INDEX(Players!$D$4:$D$503,MATCH(385,Players!$L$4:$L$503,0)),"")</f>
        <v/>
      </c>
      <c r="D388" s="7" t="str">
        <f>IFERROR(INDEX(Players!$E$4:$E$503,MATCH(385,Players!$L$4:$L$503,0)),"")</f>
        <v/>
      </c>
      <c r="E388" s="1" t="str">
        <f>IFERROR(INDEX(Players!$F$4:$F$503,MATCH(385,Players!$L$4:$L$503,0)),"")</f>
        <v/>
      </c>
      <c r="F388" s="1" t="str">
        <f>IFERROR(INDEX(Players!$I$4:$I$503,MATCH(385,Players!$L$4:$L$503,0)),"")</f>
        <v/>
      </c>
    </row>
    <row r="389" spans="1:6">
      <c r="A389" s="1" t="str">
        <f>IFERROR(INDEX(Players!$B$4:$B$503,MATCH(386,Players!$L$4:$L$503,0)),"")</f>
        <v/>
      </c>
      <c r="B389" s="1" t="str">
        <f>IFERROR(INDEX(Players!$C$4:$C$503,MATCH(386,Players!$L$4:$L$503,0)),"")</f>
        <v/>
      </c>
      <c r="C389" s="1" t="str">
        <f>IFERROR(INDEX(Players!$D$4:$D$503,MATCH(386,Players!$L$4:$L$503,0)),"")</f>
        <v/>
      </c>
      <c r="D389" s="7" t="str">
        <f>IFERROR(INDEX(Players!$E$4:$E$503,MATCH(386,Players!$L$4:$L$503,0)),"")</f>
        <v/>
      </c>
      <c r="E389" s="1" t="str">
        <f>IFERROR(INDEX(Players!$F$4:$F$503,MATCH(386,Players!$L$4:$L$503,0)),"")</f>
        <v/>
      </c>
      <c r="F389" s="1" t="str">
        <f>IFERROR(INDEX(Players!$I$4:$I$503,MATCH(386,Players!$L$4:$L$503,0)),"")</f>
        <v/>
      </c>
    </row>
    <row r="390" spans="1:6">
      <c r="A390" s="1" t="str">
        <f>IFERROR(INDEX(Players!$B$4:$B$503,MATCH(387,Players!$L$4:$L$503,0)),"")</f>
        <v/>
      </c>
      <c r="B390" s="1" t="str">
        <f>IFERROR(INDEX(Players!$C$4:$C$503,MATCH(387,Players!$L$4:$L$503,0)),"")</f>
        <v/>
      </c>
      <c r="C390" s="1" t="str">
        <f>IFERROR(INDEX(Players!$D$4:$D$503,MATCH(387,Players!$L$4:$L$503,0)),"")</f>
        <v/>
      </c>
      <c r="D390" s="7" t="str">
        <f>IFERROR(INDEX(Players!$E$4:$E$503,MATCH(387,Players!$L$4:$L$503,0)),"")</f>
        <v/>
      </c>
      <c r="E390" s="1" t="str">
        <f>IFERROR(INDEX(Players!$F$4:$F$503,MATCH(387,Players!$L$4:$L$503,0)),"")</f>
        <v/>
      </c>
      <c r="F390" s="1" t="str">
        <f>IFERROR(INDEX(Players!$I$4:$I$503,MATCH(387,Players!$L$4:$L$503,0)),"")</f>
        <v/>
      </c>
    </row>
    <row r="391" spans="1:6">
      <c r="A391" s="1" t="str">
        <f>IFERROR(INDEX(Players!$B$4:$B$503,MATCH(388,Players!$L$4:$L$503,0)),"")</f>
        <v/>
      </c>
      <c r="B391" s="1" t="str">
        <f>IFERROR(INDEX(Players!$C$4:$C$503,MATCH(388,Players!$L$4:$L$503,0)),"")</f>
        <v/>
      </c>
      <c r="C391" s="1" t="str">
        <f>IFERROR(INDEX(Players!$D$4:$D$503,MATCH(388,Players!$L$4:$L$503,0)),"")</f>
        <v/>
      </c>
      <c r="D391" s="7" t="str">
        <f>IFERROR(INDEX(Players!$E$4:$E$503,MATCH(388,Players!$L$4:$L$503,0)),"")</f>
        <v/>
      </c>
      <c r="E391" s="1" t="str">
        <f>IFERROR(INDEX(Players!$F$4:$F$503,MATCH(388,Players!$L$4:$L$503,0)),"")</f>
        <v/>
      </c>
      <c r="F391" s="1" t="str">
        <f>IFERROR(INDEX(Players!$I$4:$I$503,MATCH(388,Players!$L$4:$L$503,0)),"")</f>
        <v/>
      </c>
    </row>
    <row r="392" spans="1:6">
      <c r="A392" s="1" t="str">
        <f>IFERROR(INDEX(Players!$B$4:$B$503,MATCH(389,Players!$L$4:$L$503,0)),"")</f>
        <v/>
      </c>
      <c r="B392" s="1" t="str">
        <f>IFERROR(INDEX(Players!$C$4:$C$503,MATCH(389,Players!$L$4:$L$503,0)),"")</f>
        <v/>
      </c>
      <c r="C392" s="1" t="str">
        <f>IFERROR(INDEX(Players!$D$4:$D$503,MATCH(389,Players!$L$4:$L$503,0)),"")</f>
        <v/>
      </c>
      <c r="D392" s="7" t="str">
        <f>IFERROR(INDEX(Players!$E$4:$E$503,MATCH(389,Players!$L$4:$L$503,0)),"")</f>
        <v/>
      </c>
      <c r="E392" s="1" t="str">
        <f>IFERROR(INDEX(Players!$F$4:$F$503,MATCH(389,Players!$L$4:$L$503,0)),"")</f>
        <v/>
      </c>
      <c r="F392" s="1" t="str">
        <f>IFERROR(INDEX(Players!$I$4:$I$503,MATCH(389,Players!$L$4:$L$503,0)),"")</f>
        <v/>
      </c>
    </row>
    <row r="393" spans="1:6">
      <c r="A393" s="1" t="str">
        <f>IFERROR(INDEX(Players!$B$4:$B$503,MATCH(390,Players!$L$4:$L$503,0)),"")</f>
        <v/>
      </c>
      <c r="B393" s="1" t="str">
        <f>IFERROR(INDEX(Players!$C$4:$C$503,MATCH(390,Players!$L$4:$L$503,0)),"")</f>
        <v/>
      </c>
      <c r="C393" s="1" t="str">
        <f>IFERROR(INDEX(Players!$D$4:$D$503,MATCH(390,Players!$L$4:$L$503,0)),"")</f>
        <v/>
      </c>
      <c r="D393" s="7" t="str">
        <f>IFERROR(INDEX(Players!$E$4:$E$503,MATCH(390,Players!$L$4:$L$503,0)),"")</f>
        <v/>
      </c>
      <c r="E393" s="1" t="str">
        <f>IFERROR(INDEX(Players!$F$4:$F$503,MATCH(390,Players!$L$4:$L$503,0)),"")</f>
        <v/>
      </c>
      <c r="F393" s="1" t="str">
        <f>IFERROR(INDEX(Players!$I$4:$I$503,MATCH(390,Players!$L$4:$L$503,0)),"")</f>
        <v/>
      </c>
    </row>
    <row r="394" spans="1:6">
      <c r="A394" s="1" t="str">
        <f>IFERROR(INDEX(Players!$B$4:$B$503,MATCH(391,Players!$L$4:$L$503,0)),"")</f>
        <v/>
      </c>
      <c r="B394" s="1" t="str">
        <f>IFERROR(INDEX(Players!$C$4:$C$503,MATCH(391,Players!$L$4:$L$503,0)),"")</f>
        <v/>
      </c>
      <c r="C394" s="1" t="str">
        <f>IFERROR(INDEX(Players!$D$4:$D$503,MATCH(391,Players!$L$4:$L$503,0)),"")</f>
        <v/>
      </c>
      <c r="D394" s="7" t="str">
        <f>IFERROR(INDEX(Players!$E$4:$E$503,MATCH(391,Players!$L$4:$L$503,0)),"")</f>
        <v/>
      </c>
      <c r="E394" s="1" t="str">
        <f>IFERROR(INDEX(Players!$F$4:$F$503,MATCH(391,Players!$L$4:$L$503,0)),"")</f>
        <v/>
      </c>
      <c r="F394" s="1" t="str">
        <f>IFERROR(INDEX(Players!$I$4:$I$503,MATCH(391,Players!$L$4:$L$503,0)),"")</f>
        <v/>
      </c>
    </row>
    <row r="395" spans="1:6">
      <c r="A395" s="1" t="str">
        <f>IFERROR(INDEX(Players!$B$4:$B$503,MATCH(392,Players!$L$4:$L$503,0)),"")</f>
        <v/>
      </c>
      <c r="B395" s="1" t="str">
        <f>IFERROR(INDEX(Players!$C$4:$C$503,MATCH(392,Players!$L$4:$L$503,0)),"")</f>
        <v/>
      </c>
      <c r="C395" s="1" t="str">
        <f>IFERROR(INDEX(Players!$D$4:$D$503,MATCH(392,Players!$L$4:$L$503,0)),"")</f>
        <v/>
      </c>
      <c r="D395" s="7" t="str">
        <f>IFERROR(INDEX(Players!$E$4:$E$503,MATCH(392,Players!$L$4:$L$503,0)),"")</f>
        <v/>
      </c>
      <c r="E395" s="1" t="str">
        <f>IFERROR(INDEX(Players!$F$4:$F$503,MATCH(392,Players!$L$4:$L$503,0)),"")</f>
        <v/>
      </c>
      <c r="F395" s="1" t="str">
        <f>IFERROR(INDEX(Players!$I$4:$I$503,MATCH(392,Players!$L$4:$L$503,0)),"")</f>
        <v/>
      </c>
    </row>
    <row r="396" spans="1:6">
      <c r="A396" s="1" t="str">
        <f>IFERROR(INDEX(Players!$B$4:$B$503,MATCH(393,Players!$L$4:$L$503,0)),"")</f>
        <v/>
      </c>
      <c r="B396" s="1" t="str">
        <f>IFERROR(INDEX(Players!$C$4:$C$503,MATCH(393,Players!$L$4:$L$503,0)),"")</f>
        <v/>
      </c>
      <c r="C396" s="1" t="str">
        <f>IFERROR(INDEX(Players!$D$4:$D$503,MATCH(393,Players!$L$4:$L$503,0)),"")</f>
        <v/>
      </c>
      <c r="D396" s="7" t="str">
        <f>IFERROR(INDEX(Players!$E$4:$E$503,MATCH(393,Players!$L$4:$L$503,0)),"")</f>
        <v/>
      </c>
      <c r="E396" s="1" t="str">
        <f>IFERROR(INDEX(Players!$F$4:$F$503,MATCH(393,Players!$L$4:$L$503,0)),"")</f>
        <v/>
      </c>
      <c r="F396" s="1" t="str">
        <f>IFERROR(INDEX(Players!$I$4:$I$503,MATCH(393,Players!$L$4:$L$503,0)),"")</f>
        <v/>
      </c>
    </row>
    <row r="397" spans="1:6">
      <c r="A397" s="1" t="str">
        <f>IFERROR(INDEX(Players!$B$4:$B$503,MATCH(394,Players!$L$4:$L$503,0)),"")</f>
        <v/>
      </c>
      <c r="B397" s="1" t="str">
        <f>IFERROR(INDEX(Players!$C$4:$C$503,MATCH(394,Players!$L$4:$L$503,0)),"")</f>
        <v/>
      </c>
      <c r="C397" s="1" t="str">
        <f>IFERROR(INDEX(Players!$D$4:$D$503,MATCH(394,Players!$L$4:$L$503,0)),"")</f>
        <v/>
      </c>
      <c r="D397" s="7" t="str">
        <f>IFERROR(INDEX(Players!$E$4:$E$503,MATCH(394,Players!$L$4:$L$503,0)),"")</f>
        <v/>
      </c>
      <c r="E397" s="1" t="str">
        <f>IFERROR(INDEX(Players!$F$4:$F$503,MATCH(394,Players!$L$4:$L$503,0)),"")</f>
        <v/>
      </c>
      <c r="F397" s="1" t="str">
        <f>IFERROR(INDEX(Players!$I$4:$I$503,MATCH(394,Players!$L$4:$L$503,0)),"")</f>
        <v/>
      </c>
    </row>
    <row r="398" spans="1:6">
      <c r="A398" s="1" t="str">
        <f>IFERROR(INDEX(Players!$B$4:$B$503,MATCH(395,Players!$L$4:$L$503,0)),"")</f>
        <v/>
      </c>
      <c r="B398" s="1" t="str">
        <f>IFERROR(INDEX(Players!$C$4:$C$503,MATCH(395,Players!$L$4:$L$503,0)),"")</f>
        <v/>
      </c>
      <c r="C398" s="1" t="str">
        <f>IFERROR(INDEX(Players!$D$4:$D$503,MATCH(395,Players!$L$4:$L$503,0)),"")</f>
        <v/>
      </c>
      <c r="D398" s="7" t="str">
        <f>IFERROR(INDEX(Players!$E$4:$E$503,MATCH(395,Players!$L$4:$L$503,0)),"")</f>
        <v/>
      </c>
      <c r="E398" s="1" t="str">
        <f>IFERROR(INDEX(Players!$F$4:$F$503,MATCH(395,Players!$L$4:$L$503,0)),"")</f>
        <v/>
      </c>
      <c r="F398" s="1" t="str">
        <f>IFERROR(INDEX(Players!$I$4:$I$503,MATCH(395,Players!$L$4:$L$503,0)),"")</f>
        <v/>
      </c>
    </row>
    <row r="399" spans="1:6">
      <c r="A399" s="1" t="str">
        <f>IFERROR(INDEX(Players!$B$4:$B$503,MATCH(396,Players!$L$4:$L$503,0)),"")</f>
        <v/>
      </c>
      <c r="B399" s="1" t="str">
        <f>IFERROR(INDEX(Players!$C$4:$C$503,MATCH(396,Players!$L$4:$L$503,0)),"")</f>
        <v/>
      </c>
      <c r="C399" s="1" t="str">
        <f>IFERROR(INDEX(Players!$D$4:$D$503,MATCH(396,Players!$L$4:$L$503,0)),"")</f>
        <v/>
      </c>
      <c r="D399" s="7" t="str">
        <f>IFERROR(INDEX(Players!$E$4:$E$503,MATCH(396,Players!$L$4:$L$503,0)),"")</f>
        <v/>
      </c>
      <c r="E399" s="1" t="str">
        <f>IFERROR(INDEX(Players!$F$4:$F$503,MATCH(396,Players!$L$4:$L$503,0)),"")</f>
        <v/>
      </c>
      <c r="F399" s="1" t="str">
        <f>IFERROR(INDEX(Players!$I$4:$I$503,MATCH(396,Players!$L$4:$L$503,0)),"")</f>
        <v/>
      </c>
    </row>
    <row r="400" spans="1:6">
      <c r="A400" s="1" t="str">
        <f>IFERROR(INDEX(Players!$B$4:$B$503,MATCH(397,Players!$L$4:$L$503,0)),"")</f>
        <v/>
      </c>
      <c r="B400" s="1" t="str">
        <f>IFERROR(INDEX(Players!$C$4:$C$503,MATCH(397,Players!$L$4:$L$503,0)),"")</f>
        <v/>
      </c>
      <c r="C400" s="1" t="str">
        <f>IFERROR(INDEX(Players!$D$4:$D$503,MATCH(397,Players!$L$4:$L$503,0)),"")</f>
        <v/>
      </c>
      <c r="D400" s="7" t="str">
        <f>IFERROR(INDEX(Players!$E$4:$E$503,MATCH(397,Players!$L$4:$L$503,0)),"")</f>
        <v/>
      </c>
      <c r="E400" s="1" t="str">
        <f>IFERROR(INDEX(Players!$F$4:$F$503,MATCH(397,Players!$L$4:$L$503,0)),"")</f>
        <v/>
      </c>
      <c r="F400" s="1" t="str">
        <f>IFERROR(INDEX(Players!$I$4:$I$503,MATCH(397,Players!$L$4:$L$503,0)),"")</f>
        <v/>
      </c>
    </row>
    <row r="401" spans="1:6">
      <c r="A401" s="1" t="str">
        <f>IFERROR(INDEX(Players!$B$4:$B$503,MATCH(398,Players!$L$4:$L$503,0)),"")</f>
        <v/>
      </c>
      <c r="B401" s="1" t="str">
        <f>IFERROR(INDEX(Players!$C$4:$C$503,MATCH(398,Players!$L$4:$L$503,0)),"")</f>
        <v/>
      </c>
      <c r="C401" s="1" t="str">
        <f>IFERROR(INDEX(Players!$D$4:$D$503,MATCH(398,Players!$L$4:$L$503,0)),"")</f>
        <v/>
      </c>
      <c r="D401" s="7" t="str">
        <f>IFERROR(INDEX(Players!$E$4:$E$503,MATCH(398,Players!$L$4:$L$503,0)),"")</f>
        <v/>
      </c>
      <c r="E401" s="1" t="str">
        <f>IFERROR(INDEX(Players!$F$4:$F$503,MATCH(398,Players!$L$4:$L$503,0)),"")</f>
        <v/>
      </c>
      <c r="F401" s="1" t="str">
        <f>IFERROR(INDEX(Players!$I$4:$I$503,MATCH(398,Players!$L$4:$L$503,0)),"")</f>
        <v/>
      </c>
    </row>
    <row r="402" spans="1:6">
      <c r="A402" s="1" t="str">
        <f>IFERROR(INDEX(Players!$B$4:$B$503,MATCH(399,Players!$L$4:$L$503,0)),"")</f>
        <v/>
      </c>
      <c r="B402" s="1" t="str">
        <f>IFERROR(INDEX(Players!$C$4:$C$503,MATCH(399,Players!$L$4:$L$503,0)),"")</f>
        <v/>
      </c>
      <c r="C402" s="1" t="str">
        <f>IFERROR(INDEX(Players!$D$4:$D$503,MATCH(399,Players!$L$4:$L$503,0)),"")</f>
        <v/>
      </c>
      <c r="D402" s="7" t="str">
        <f>IFERROR(INDEX(Players!$E$4:$E$503,MATCH(399,Players!$L$4:$L$503,0)),"")</f>
        <v/>
      </c>
      <c r="E402" s="1" t="str">
        <f>IFERROR(INDEX(Players!$F$4:$F$503,MATCH(399,Players!$L$4:$L$503,0)),"")</f>
        <v/>
      </c>
      <c r="F402" s="1" t="str">
        <f>IFERROR(INDEX(Players!$I$4:$I$503,MATCH(399,Players!$L$4:$L$503,0)),"")</f>
        <v/>
      </c>
    </row>
    <row r="403" spans="1:6">
      <c r="A403" s="1" t="str">
        <f>IFERROR(INDEX(Players!$B$4:$B$503,MATCH(400,Players!$L$4:$L$503,0)),"")</f>
        <v/>
      </c>
      <c r="B403" s="1" t="str">
        <f>IFERROR(INDEX(Players!$C$4:$C$503,MATCH(400,Players!$L$4:$L$503,0)),"")</f>
        <v/>
      </c>
      <c r="C403" s="1" t="str">
        <f>IFERROR(INDEX(Players!$D$4:$D$503,MATCH(400,Players!$L$4:$L$503,0)),"")</f>
        <v/>
      </c>
      <c r="D403" s="7" t="str">
        <f>IFERROR(INDEX(Players!$E$4:$E$503,MATCH(400,Players!$L$4:$L$503,0)),"")</f>
        <v/>
      </c>
      <c r="E403" s="1" t="str">
        <f>IFERROR(INDEX(Players!$F$4:$F$503,MATCH(400,Players!$L$4:$L$503,0)),"")</f>
        <v/>
      </c>
      <c r="F403" s="1" t="str">
        <f>IFERROR(INDEX(Players!$I$4:$I$503,MATCH(400,Players!$L$4:$L$503,0)),"")</f>
        <v/>
      </c>
    </row>
    <row r="404" spans="1:6">
      <c r="A404" s="1" t="str">
        <f>IFERROR(INDEX(Players!$B$4:$B$503,MATCH(401,Players!$L$4:$L$503,0)),"")</f>
        <v/>
      </c>
      <c r="B404" s="1" t="str">
        <f>IFERROR(INDEX(Players!$C$4:$C$503,MATCH(401,Players!$L$4:$L$503,0)),"")</f>
        <v/>
      </c>
      <c r="C404" s="1" t="str">
        <f>IFERROR(INDEX(Players!$D$4:$D$503,MATCH(401,Players!$L$4:$L$503,0)),"")</f>
        <v/>
      </c>
      <c r="D404" s="7" t="str">
        <f>IFERROR(INDEX(Players!$E$4:$E$503,MATCH(401,Players!$L$4:$L$503,0)),"")</f>
        <v/>
      </c>
      <c r="E404" s="1" t="str">
        <f>IFERROR(INDEX(Players!$F$4:$F$503,MATCH(401,Players!$L$4:$L$503,0)),"")</f>
        <v/>
      </c>
      <c r="F404" s="1" t="str">
        <f>IFERROR(INDEX(Players!$I$4:$I$503,MATCH(401,Players!$L$4:$L$503,0)),"")</f>
        <v/>
      </c>
    </row>
    <row r="405" spans="1:6">
      <c r="A405" s="1" t="str">
        <f>IFERROR(INDEX(Players!$B$4:$B$503,MATCH(402,Players!$L$4:$L$503,0)),"")</f>
        <v/>
      </c>
      <c r="B405" s="1" t="str">
        <f>IFERROR(INDEX(Players!$C$4:$C$503,MATCH(402,Players!$L$4:$L$503,0)),"")</f>
        <v/>
      </c>
      <c r="C405" s="1" t="str">
        <f>IFERROR(INDEX(Players!$D$4:$D$503,MATCH(402,Players!$L$4:$L$503,0)),"")</f>
        <v/>
      </c>
      <c r="D405" s="7" t="str">
        <f>IFERROR(INDEX(Players!$E$4:$E$503,MATCH(402,Players!$L$4:$L$503,0)),"")</f>
        <v/>
      </c>
      <c r="E405" s="1" t="str">
        <f>IFERROR(INDEX(Players!$F$4:$F$503,MATCH(402,Players!$L$4:$L$503,0)),"")</f>
        <v/>
      </c>
      <c r="F405" s="1" t="str">
        <f>IFERROR(INDEX(Players!$I$4:$I$503,MATCH(402,Players!$L$4:$L$503,0)),"")</f>
        <v/>
      </c>
    </row>
    <row r="406" spans="1:6">
      <c r="A406" s="1" t="str">
        <f>IFERROR(INDEX(Players!$B$4:$B$503,MATCH(403,Players!$L$4:$L$503,0)),"")</f>
        <v/>
      </c>
      <c r="B406" s="1" t="str">
        <f>IFERROR(INDEX(Players!$C$4:$C$503,MATCH(403,Players!$L$4:$L$503,0)),"")</f>
        <v/>
      </c>
      <c r="C406" s="1" t="str">
        <f>IFERROR(INDEX(Players!$D$4:$D$503,MATCH(403,Players!$L$4:$L$503,0)),"")</f>
        <v/>
      </c>
      <c r="D406" s="7" t="str">
        <f>IFERROR(INDEX(Players!$E$4:$E$503,MATCH(403,Players!$L$4:$L$503,0)),"")</f>
        <v/>
      </c>
      <c r="E406" s="1" t="str">
        <f>IFERROR(INDEX(Players!$F$4:$F$503,MATCH(403,Players!$L$4:$L$503,0)),"")</f>
        <v/>
      </c>
      <c r="F406" s="1" t="str">
        <f>IFERROR(INDEX(Players!$I$4:$I$503,MATCH(403,Players!$L$4:$L$503,0)),"")</f>
        <v/>
      </c>
    </row>
    <row r="407" spans="1:6">
      <c r="A407" s="1" t="str">
        <f>IFERROR(INDEX(Players!$B$4:$B$503,MATCH(404,Players!$L$4:$L$503,0)),"")</f>
        <v/>
      </c>
      <c r="B407" s="1" t="str">
        <f>IFERROR(INDEX(Players!$C$4:$C$503,MATCH(404,Players!$L$4:$L$503,0)),"")</f>
        <v/>
      </c>
      <c r="C407" s="1" t="str">
        <f>IFERROR(INDEX(Players!$D$4:$D$503,MATCH(404,Players!$L$4:$L$503,0)),"")</f>
        <v/>
      </c>
      <c r="D407" s="7" t="str">
        <f>IFERROR(INDEX(Players!$E$4:$E$503,MATCH(404,Players!$L$4:$L$503,0)),"")</f>
        <v/>
      </c>
      <c r="E407" s="1" t="str">
        <f>IFERROR(INDEX(Players!$F$4:$F$503,MATCH(404,Players!$L$4:$L$503,0)),"")</f>
        <v/>
      </c>
      <c r="F407" s="1" t="str">
        <f>IFERROR(INDEX(Players!$I$4:$I$503,MATCH(404,Players!$L$4:$L$503,0)),"")</f>
        <v/>
      </c>
    </row>
    <row r="408" spans="1:6">
      <c r="A408" s="1" t="str">
        <f>IFERROR(INDEX(Players!$B$4:$B$503,MATCH(405,Players!$L$4:$L$503,0)),"")</f>
        <v/>
      </c>
      <c r="B408" s="1" t="str">
        <f>IFERROR(INDEX(Players!$C$4:$C$503,MATCH(405,Players!$L$4:$L$503,0)),"")</f>
        <v/>
      </c>
      <c r="C408" s="1" t="str">
        <f>IFERROR(INDEX(Players!$D$4:$D$503,MATCH(405,Players!$L$4:$L$503,0)),"")</f>
        <v/>
      </c>
      <c r="D408" s="7" t="str">
        <f>IFERROR(INDEX(Players!$E$4:$E$503,MATCH(405,Players!$L$4:$L$503,0)),"")</f>
        <v/>
      </c>
      <c r="E408" s="1" t="str">
        <f>IFERROR(INDEX(Players!$F$4:$F$503,MATCH(405,Players!$L$4:$L$503,0)),"")</f>
        <v/>
      </c>
      <c r="F408" s="1" t="str">
        <f>IFERROR(INDEX(Players!$I$4:$I$503,MATCH(405,Players!$L$4:$L$503,0)),"")</f>
        <v/>
      </c>
    </row>
    <row r="409" spans="1:6">
      <c r="A409" s="1" t="str">
        <f>IFERROR(INDEX(Players!$B$4:$B$503,MATCH(406,Players!$L$4:$L$503,0)),"")</f>
        <v/>
      </c>
      <c r="B409" s="1" t="str">
        <f>IFERROR(INDEX(Players!$C$4:$C$503,MATCH(406,Players!$L$4:$L$503,0)),"")</f>
        <v/>
      </c>
      <c r="C409" s="1" t="str">
        <f>IFERROR(INDEX(Players!$D$4:$D$503,MATCH(406,Players!$L$4:$L$503,0)),"")</f>
        <v/>
      </c>
      <c r="D409" s="7" t="str">
        <f>IFERROR(INDEX(Players!$E$4:$E$503,MATCH(406,Players!$L$4:$L$503,0)),"")</f>
        <v/>
      </c>
      <c r="E409" s="1" t="str">
        <f>IFERROR(INDEX(Players!$F$4:$F$503,MATCH(406,Players!$L$4:$L$503,0)),"")</f>
        <v/>
      </c>
      <c r="F409" s="1" t="str">
        <f>IFERROR(INDEX(Players!$I$4:$I$503,MATCH(406,Players!$L$4:$L$503,0)),"")</f>
        <v/>
      </c>
    </row>
    <row r="410" spans="1:6">
      <c r="A410" s="1" t="str">
        <f>IFERROR(INDEX(Players!$B$4:$B$503,MATCH(407,Players!$L$4:$L$503,0)),"")</f>
        <v/>
      </c>
      <c r="B410" s="1" t="str">
        <f>IFERROR(INDEX(Players!$C$4:$C$503,MATCH(407,Players!$L$4:$L$503,0)),"")</f>
        <v/>
      </c>
      <c r="C410" s="1" t="str">
        <f>IFERROR(INDEX(Players!$D$4:$D$503,MATCH(407,Players!$L$4:$L$503,0)),"")</f>
        <v/>
      </c>
      <c r="D410" s="7" t="str">
        <f>IFERROR(INDEX(Players!$E$4:$E$503,MATCH(407,Players!$L$4:$L$503,0)),"")</f>
        <v/>
      </c>
      <c r="E410" s="1" t="str">
        <f>IFERROR(INDEX(Players!$F$4:$F$503,MATCH(407,Players!$L$4:$L$503,0)),"")</f>
        <v/>
      </c>
      <c r="F410" s="1" t="str">
        <f>IFERROR(INDEX(Players!$I$4:$I$503,MATCH(407,Players!$L$4:$L$503,0)),"")</f>
        <v/>
      </c>
    </row>
    <row r="411" spans="1:6">
      <c r="A411" s="1" t="str">
        <f>IFERROR(INDEX(Players!$B$4:$B$503,MATCH(408,Players!$L$4:$L$503,0)),"")</f>
        <v/>
      </c>
      <c r="B411" s="1" t="str">
        <f>IFERROR(INDEX(Players!$C$4:$C$503,MATCH(408,Players!$L$4:$L$503,0)),"")</f>
        <v/>
      </c>
      <c r="C411" s="1" t="str">
        <f>IFERROR(INDEX(Players!$D$4:$D$503,MATCH(408,Players!$L$4:$L$503,0)),"")</f>
        <v/>
      </c>
      <c r="D411" s="7" t="str">
        <f>IFERROR(INDEX(Players!$E$4:$E$503,MATCH(408,Players!$L$4:$L$503,0)),"")</f>
        <v/>
      </c>
      <c r="E411" s="1" t="str">
        <f>IFERROR(INDEX(Players!$F$4:$F$503,MATCH(408,Players!$L$4:$L$503,0)),"")</f>
        <v/>
      </c>
      <c r="F411" s="1" t="str">
        <f>IFERROR(INDEX(Players!$I$4:$I$503,MATCH(408,Players!$L$4:$L$503,0)),"")</f>
        <v/>
      </c>
    </row>
    <row r="412" spans="1:6">
      <c r="A412" s="1" t="str">
        <f>IFERROR(INDEX(Players!$B$4:$B$503,MATCH(409,Players!$L$4:$L$503,0)),"")</f>
        <v/>
      </c>
      <c r="B412" s="1" t="str">
        <f>IFERROR(INDEX(Players!$C$4:$C$503,MATCH(409,Players!$L$4:$L$503,0)),"")</f>
        <v/>
      </c>
      <c r="C412" s="1" t="str">
        <f>IFERROR(INDEX(Players!$D$4:$D$503,MATCH(409,Players!$L$4:$L$503,0)),"")</f>
        <v/>
      </c>
      <c r="D412" s="7" t="str">
        <f>IFERROR(INDEX(Players!$E$4:$E$503,MATCH(409,Players!$L$4:$L$503,0)),"")</f>
        <v/>
      </c>
      <c r="E412" s="1" t="str">
        <f>IFERROR(INDEX(Players!$F$4:$F$503,MATCH(409,Players!$L$4:$L$503,0)),"")</f>
        <v/>
      </c>
      <c r="F412" s="1" t="str">
        <f>IFERROR(INDEX(Players!$I$4:$I$503,MATCH(409,Players!$L$4:$L$503,0)),"")</f>
        <v/>
      </c>
    </row>
    <row r="413" spans="1:6">
      <c r="A413" s="1" t="str">
        <f>IFERROR(INDEX(Players!$B$4:$B$503,MATCH(410,Players!$L$4:$L$503,0)),"")</f>
        <v/>
      </c>
      <c r="B413" s="1" t="str">
        <f>IFERROR(INDEX(Players!$C$4:$C$503,MATCH(410,Players!$L$4:$L$503,0)),"")</f>
        <v/>
      </c>
      <c r="C413" s="1" t="str">
        <f>IFERROR(INDEX(Players!$D$4:$D$503,MATCH(410,Players!$L$4:$L$503,0)),"")</f>
        <v/>
      </c>
      <c r="D413" s="7" t="str">
        <f>IFERROR(INDEX(Players!$E$4:$E$503,MATCH(410,Players!$L$4:$L$503,0)),"")</f>
        <v/>
      </c>
      <c r="E413" s="1" t="str">
        <f>IFERROR(INDEX(Players!$F$4:$F$503,MATCH(410,Players!$L$4:$L$503,0)),"")</f>
        <v/>
      </c>
      <c r="F413" s="1" t="str">
        <f>IFERROR(INDEX(Players!$I$4:$I$503,MATCH(410,Players!$L$4:$L$503,0)),"")</f>
        <v/>
      </c>
    </row>
    <row r="414" spans="1:6">
      <c r="A414" s="1" t="str">
        <f>IFERROR(INDEX(Players!$B$4:$B$503,MATCH(411,Players!$L$4:$L$503,0)),"")</f>
        <v/>
      </c>
      <c r="B414" s="1" t="str">
        <f>IFERROR(INDEX(Players!$C$4:$C$503,MATCH(411,Players!$L$4:$L$503,0)),"")</f>
        <v/>
      </c>
      <c r="C414" s="1" t="str">
        <f>IFERROR(INDEX(Players!$D$4:$D$503,MATCH(411,Players!$L$4:$L$503,0)),"")</f>
        <v/>
      </c>
      <c r="D414" s="7" t="str">
        <f>IFERROR(INDEX(Players!$E$4:$E$503,MATCH(411,Players!$L$4:$L$503,0)),"")</f>
        <v/>
      </c>
      <c r="E414" s="1" t="str">
        <f>IFERROR(INDEX(Players!$F$4:$F$503,MATCH(411,Players!$L$4:$L$503,0)),"")</f>
        <v/>
      </c>
      <c r="F414" s="1" t="str">
        <f>IFERROR(INDEX(Players!$I$4:$I$503,MATCH(411,Players!$L$4:$L$503,0)),"")</f>
        <v/>
      </c>
    </row>
    <row r="415" spans="1:6">
      <c r="A415" s="1" t="str">
        <f>IFERROR(INDEX(Players!$B$4:$B$503,MATCH(412,Players!$L$4:$L$503,0)),"")</f>
        <v/>
      </c>
      <c r="B415" s="1" t="str">
        <f>IFERROR(INDEX(Players!$C$4:$C$503,MATCH(412,Players!$L$4:$L$503,0)),"")</f>
        <v/>
      </c>
      <c r="C415" s="1" t="str">
        <f>IFERROR(INDEX(Players!$D$4:$D$503,MATCH(412,Players!$L$4:$L$503,0)),"")</f>
        <v/>
      </c>
      <c r="D415" s="7" t="str">
        <f>IFERROR(INDEX(Players!$E$4:$E$503,MATCH(412,Players!$L$4:$L$503,0)),"")</f>
        <v/>
      </c>
      <c r="E415" s="1" t="str">
        <f>IFERROR(INDEX(Players!$F$4:$F$503,MATCH(412,Players!$L$4:$L$503,0)),"")</f>
        <v/>
      </c>
      <c r="F415" s="1" t="str">
        <f>IFERROR(INDEX(Players!$I$4:$I$503,MATCH(412,Players!$L$4:$L$503,0)),"")</f>
        <v/>
      </c>
    </row>
    <row r="416" spans="1:6">
      <c r="A416" s="1" t="str">
        <f>IFERROR(INDEX(Players!$B$4:$B$503,MATCH(413,Players!$L$4:$L$503,0)),"")</f>
        <v/>
      </c>
      <c r="B416" s="1" t="str">
        <f>IFERROR(INDEX(Players!$C$4:$C$503,MATCH(413,Players!$L$4:$L$503,0)),"")</f>
        <v/>
      </c>
      <c r="C416" s="1" t="str">
        <f>IFERROR(INDEX(Players!$D$4:$D$503,MATCH(413,Players!$L$4:$L$503,0)),"")</f>
        <v/>
      </c>
      <c r="D416" s="7" t="str">
        <f>IFERROR(INDEX(Players!$E$4:$E$503,MATCH(413,Players!$L$4:$L$503,0)),"")</f>
        <v/>
      </c>
      <c r="E416" s="1" t="str">
        <f>IFERROR(INDEX(Players!$F$4:$F$503,MATCH(413,Players!$L$4:$L$503,0)),"")</f>
        <v/>
      </c>
      <c r="F416" s="1" t="str">
        <f>IFERROR(INDEX(Players!$I$4:$I$503,MATCH(413,Players!$L$4:$L$503,0)),"")</f>
        <v/>
      </c>
    </row>
    <row r="417" spans="1:6">
      <c r="A417" s="1" t="str">
        <f>IFERROR(INDEX(Players!$B$4:$B$503,MATCH(414,Players!$L$4:$L$503,0)),"")</f>
        <v/>
      </c>
      <c r="B417" s="1" t="str">
        <f>IFERROR(INDEX(Players!$C$4:$C$503,MATCH(414,Players!$L$4:$L$503,0)),"")</f>
        <v/>
      </c>
      <c r="C417" s="1" t="str">
        <f>IFERROR(INDEX(Players!$D$4:$D$503,MATCH(414,Players!$L$4:$L$503,0)),"")</f>
        <v/>
      </c>
      <c r="D417" s="7" t="str">
        <f>IFERROR(INDEX(Players!$E$4:$E$503,MATCH(414,Players!$L$4:$L$503,0)),"")</f>
        <v/>
      </c>
      <c r="E417" s="1" t="str">
        <f>IFERROR(INDEX(Players!$F$4:$F$503,MATCH(414,Players!$L$4:$L$503,0)),"")</f>
        <v/>
      </c>
      <c r="F417" s="1" t="str">
        <f>IFERROR(INDEX(Players!$I$4:$I$503,MATCH(414,Players!$L$4:$L$503,0)),"")</f>
        <v/>
      </c>
    </row>
    <row r="418" spans="1:6">
      <c r="A418" s="1" t="str">
        <f>IFERROR(INDEX(Players!$B$4:$B$503,MATCH(415,Players!$L$4:$L$503,0)),"")</f>
        <v/>
      </c>
      <c r="B418" s="1" t="str">
        <f>IFERROR(INDEX(Players!$C$4:$C$503,MATCH(415,Players!$L$4:$L$503,0)),"")</f>
        <v/>
      </c>
      <c r="C418" s="1" t="str">
        <f>IFERROR(INDEX(Players!$D$4:$D$503,MATCH(415,Players!$L$4:$L$503,0)),"")</f>
        <v/>
      </c>
      <c r="D418" s="7" t="str">
        <f>IFERROR(INDEX(Players!$E$4:$E$503,MATCH(415,Players!$L$4:$L$503,0)),"")</f>
        <v/>
      </c>
      <c r="E418" s="1" t="str">
        <f>IFERROR(INDEX(Players!$F$4:$F$503,MATCH(415,Players!$L$4:$L$503,0)),"")</f>
        <v/>
      </c>
      <c r="F418" s="1" t="str">
        <f>IFERROR(INDEX(Players!$I$4:$I$503,MATCH(415,Players!$L$4:$L$503,0)),"")</f>
        <v/>
      </c>
    </row>
    <row r="419" spans="1:6">
      <c r="A419" s="1" t="str">
        <f>IFERROR(INDEX(Players!$B$4:$B$503,MATCH(416,Players!$L$4:$L$503,0)),"")</f>
        <v/>
      </c>
      <c r="B419" s="1" t="str">
        <f>IFERROR(INDEX(Players!$C$4:$C$503,MATCH(416,Players!$L$4:$L$503,0)),"")</f>
        <v/>
      </c>
      <c r="C419" s="1" t="str">
        <f>IFERROR(INDEX(Players!$D$4:$D$503,MATCH(416,Players!$L$4:$L$503,0)),"")</f>
        <v/>
      </c>
      <c r="D419" s="7" t="str">
        <f>IFERROR(INDEX(Players!$E$4:$E$503,MATCH(416,Players!$L$4:$L$503,0)),"")</f>
        <v/>
      </c>
      <c r="E419" s="1" t="str">
        <f>IFERROR(INDEX(Players!$F$4:$F$503,MATCH(416,Players!$L$4:$L$503,0)),"")</f>
        <v/>
      </c>
      <c r="F419" s="1" t="str">
        <f>IFERROR(INDEX(Players!$I$4:$I$503,MATCH(416,Players!$L$4:$L$503,0)),"")</f>
        <v/>
      </c>
    </row>
    <row r="420" spans="1:6">
      <c r="A420" s="1" t="str">
        <f>IFERROR(INDEX(Players!$B$4:$B$503,MATCH(417,Players!$L$4:$L$503,0)),"")</f>
        <v/>
      </c>
      <c r="B420" s="1" t="str">
        <f>IFERROR(INDEX(Players!$C$4:$C$503,MATCH(417,Players!$L$4:$L$503,0)),"")</f>
        <v/>
      </c>
      <c r="C420" s="1" t="str">
        <f>IFERROR(INDEX(Players!$D$4:$D$503,MATCH(417,Players!$L$4:$L$503,0)),"")</f>
        <v/>
      </c>
      <c r="D420" s="7" t="str">
        <f>IFERROR(INDEX(Players!$E$4:$E$503,MATCH(417,Players!$L$4:$L$503,0)),"")</f>
        <v/>
      </c>
      <c r="E420" s="1" t="str">
        <f>IFERROR(INDEX(Players!$F$4:$F$503,MATCH(417,Players!$L$4:$L$503,0)),"")</f>
        <v/>
      </c>
      <c r="F420" s="1" t="str">
        <f>IFERROR(INDEX(Players!$I$4:$I$503,MATCH(417,Players!$L$4:$L$503,0)),"")</f>
        <v/>
      </c>
    </row>
    <row r="421" spans="1:6">
      <c r="A421" s="1" t="str">
        <f>IFERROR(INDEX(Players!$B$4:$B$503,MATCH(418,Players!$L$4:$L$503,0)),"")</f>
        <v/>
      </c>
      <c r="B421" s="1" t="str">
        <f>IFERROR(INDEX(Players!$C$4:$C$503,MATCH(418,Players!$L$4:$L$503,0)),"")</f>
        <v/>
      </c>
      <c r="C421" s="1" t="str">
        <f>IFERROR(INDEX(Players!$D$4:$D$503,MATCH(418,Players!$L$4:$L$503,0)),"")</f>
        <v/>
      </c>
      <c r="D421" s="7" t="str">
        <f>IFERROR(INDEX(Players!$E$4:$E$503,MATCH(418,Players!$L$4:$L$503,0)),"")</f>
        <v/>
      </c>
      <c r="E421" s="1" t="str">
        <f>IFERROR(INDEX(Players!$F$4:$F$503,MATCH(418,Players!$L$4:$L$503,0)),"")</f>
        <v/>
      </c>
      <c r="F421" s="1" t="str">
        <f>IFERROR(INDEX(Players!$I$4:$I$503,MATCH(418,Players!$L$4:$L$503,0)),"")</f>
        <v/>
      </c>
    </row>
    <row r="422" spans="1:6">
      <c r="A422" s="1" t="str">
        <f>IFERROR(INDEX(Players!$B$4:$B$503,MATCH(419,Players!$L$4:$L$503,0)),"")</f>
        <v/>
      </c>
      <c r="B422" s="1" t="str">
        <f>IFERROR(INDEX(Players!$C$4:$C$503,MATCH(419,Players!$L$4:$L$503,0)),"")</f>
        <v/>
      </c>
      <c r="C422" s="1" t="str">
        <f>IFERROR(INDEX(Players!$D$4:$D$503,MATCH(419,Players!$L$4:$L$503,0)),"")</f>
        <v/>
      </c>
      <c r="D422" s="7" t="str">
        <f>IFERROR(INDEX(Players!$E$4:$E$503,MATCH(419,Players!$L$4:$L$503,0)),"")</f>
        <v/>
      </c>
      <c r="E422" s="1" t="str">
        <f>IFERROR(INDEX(Players!$F$4:$F$503,MATCH(419,Players!$L$4:$L$503,0)),"")</f>
        <v/>
      </c>
      <c r="F422" s="1" t="str">
        <f>IFERROR(INDEX(Players!$I$4:$I$503,MATCH(419,Players!$L$4:$L$503,0)),"")</f>
        <v/>
      </c>
    </row>
    <row r="423" spans="1:6">
      <c r="A423" s="1" t="str">
        <f>IFERROR(INDEX(Players!$B$4:$B$503,MATCH(420,Players!$L$4:$L$503,0)),"")</f>
        <v/>
      </c>
      <c r="B423" s="1" t="str">
        <f>IFERROR(INDEX(Players!$C$4:$C$503,MATCH(420,Players!$L$4:$L$503,0)),"")</f>
        <v/>
      </c>
      <c r="C423" s="1" t="str">
        <f>IFERROR(INDEX(Players!$D$4:$D$503,MATCH(420,Players!$L$4:$L$503,0)),"")</f>
        <v/>
      </c>
      <c r="D423" s="7" t="str">
        <f>IFERROR(INDEX(Players!$E$4:$E$503,MATCH(420,Players!$L$4:$L$503,0)),"")</f>
        <v/>
      </c>
      <c r="E423" s="1" t="str">
        <f>IFERROR(INDEX(Players!$F$4:$F$503,MATCH(420,Players!$L$4:$L$503,0)),"")</f>
        <v/>
      </c>
      <c r="F423" s="1" t="str">
        <f>IFERROR(INDEX(Players!$I$4:$I$503,MATCH(420,Players!$L$4:$L$503,0)),"")</f>
        <v/>
      </c>
    </row>
    <row r="424" spans="1:6">
      <c r="A424" s="1" t="str">
        <f>IFERROR(INDEX(Players!$B$4:$B$503,MATCH(421,Players!$L$4:$L$503,0)),"")</f>
        <v/>
      </c>
      <c r="B424" s="1" t="str">
        <f>IFERROR(INDEX(Players!$C$4:$C$503,MATCH(421,Players!$L$4:$L$503,0)),"")</f>
        <v/>
      </c>
      <c r="C424" s="1" t="str">
        <f>IFERROR(INDEX(Players!$D$4:$D$503,MATCH(421,Players!$L$4:$L$503,0)),"")</f>
        <v/>
      </c>
      <c r="D424" s="7" t="str">
        <f>IFERROR(INDEX(Players!$E$4:$E$503,MATCH(421,Players!$L$4:$L$503,0)),"")</f>
        <v/>
      </c>
      <c r="E424" s="1" t="str">
        <f>IFERROR(INDEX(Players!$F$4:$F$503,MATCH(421,Players!$L$4:$L$503,0)),"")</f>
        <v/>
      </c>
      <c r="F424" s="1" t="str">
        <f>IFERROR(INDEX(Players!$I$4:$I$503,MATCH(421,Players!$L$4:$L$503,0)),"")</f>
        <v/>
      </c>
    </row>
    <row r="425" spans="1:6">
      <c r="A425" s="1" t="str">
        <f>IFERROR(INDEX(Players!$B$4:$B$503,MATCH(422,Players!$L$4:$L$503,0)),"")</f>
        <v/>
      </c>
      <c r="B425" s="1" t="str">
        <f>IFERROR(INDEX(Players!$C$4:$C$503,MATCH(422,Players!$L$4:$L$503,0)),"")</f>
        <v/>
      </c>
      <c r="C425" s="1" t="str">
        <f>IFERROR(INDEX(Players!$D$4:$D$503,MATCH(422,Players!$L$4:$L$503,0)),"")</f>
        <v/>
      </c>
      <c r="D425" s="7" t="str">
        <f>IFERROR(INDEX(Players!$E$4:$E$503,MATCH(422,Players!$L$4:$L$503,0)),"")</f>
        <v/>
      </c>
      <c r="E425" s="1" t="str">
        <f>IFERROR(INDEX(Players!$F$4:$F$503,MATCH(422,Players!$L$4:$L$503,0)),"")</f>
        <v/>
      </c>
      <c r="F425" s="1" t="str">
        <f>IFERROR(INDEX(Players!$I$4:$I$503,MATCH(422,Players!$L$4:$L$503,0)),"")</f>
        <v/>
      </c>
    </row>
    <row r="426" spans="1:6">
      <c r="A426" s="1" t="str">
        <f>IFERROR(INDEX(Players!$B$4:$B$503,MATCH(423,Players!$L$4:$L$503,0)),"")</f>
        <v/>
      </c>
      <c r="B426" s="1" t="str">
        <f>IFERROR(INDEX(Players!$C$4:$C$503,MATCH(423,Players!$L$4:$L$503,0)),"")</f>
        <v/>
      </c>
      <c r="C426" s="1" t="str">
        <f>IFERROR(INDEX(Players!$D$4:$D$503,MATCH(423,Players!$L$4:$L$503,0)),"")</f>
        <v/>
      </c>
      <c r="D426" s="7" t="str">
        <f>IFERROR(INDEX(Players!$E$4:$E$503,MATCH(423,Players!$L$4:$L$503,0)),"")</f>
        <v/>
      </c>
      <c r="E426" s="1" t="str">
        <f>IFERROR(INDEX(Players!$F$4:$F$503,MATCH(423,Players!$L$4:$L$503,0)),"")</f>
        <v/>
      </c>
      <c r="F426" s="1" t="str">
        <f>IFERROR(INDEX(Players!$I$4:$I$503,MATCH(423,Players!$L$4:$L$503,0)),"")</f>
        <v/>
      </c>
    </row>
    <row r="427" spans="1:6">
      <c r="A427" s="1" t="str">
        <f>IFERROR(INDEX(Players!$B$4:$B$503,MATCH(424,Players!$L$4:$L$503,0)),"")</f>
        <v/>
      </c>
      <c r="B427" s="1" t="str">
        <f>IFERROR(INDEX(Players!$C$4:$C$503,MATCH(424,Players!$L$4:$L$503,0)),"")</f>
        <v/>
      </c>
      <c r="C427" s="1" t="str">
        <f>IFERROR(INDEX(Players!$D$4:$D$503,MATCH(424,Players!$L$4:$L$503,0)),"")</f>
        <v/>
      </c>
      <c r="D427" s="7" t="str">
        <f>IFERROR(INDEX(Players!$E$4:$E$503,MATCH(424,Players!$L$4:$L$503,0)),"")</f>
        <v/>
      </c>
      <c r="E427" s="1" t="str">
        <f>IFERROR(INDEX(Players!$F$4:$F$503,MATCH(424,Players!$L$4:$L$503,0)),"")</f>
        <v/>
      </c>
      <c r="F427" s="1" t="str">
        <f>IFERROR(INDEX(Players!$I$4:$I$503,MATCH(424,Players!$L$4:$L$503,0)),"")</f>
        <v/>
      </c>
    </row>
    <row r="428" spans="1:6">
      <c r="A428" s="1" t="str">
        <f>IFERROR(INDEX(Players!$B$4:$B$503,MATCH(425,Players!$L$4:$L$503,0)),"")</f>
        <v/>
      </c>
      <c r="B428" s="1" t="str">
        <f>IFERROR(INDEX(Players!$C$4:$C$503,MATCH(425,Players!$L$4:$L$503,0)),"")</f>
        <v/>
      </c>
      <c r="C428" s="1" t="str">
        <f>IFERROR(INDEX(Players!$D$4:$D$503,MATCH(425,Players!$L$4:$L$503,0)),"")</f>
        <v/>
      </c>
      <c r="D428" s="7" t="str">
        <f>IFERROR(INDEX(Players!$E$4:$E$503,MATCH(425,Players!$L$4:$L$503,0)),"")</f>
        <v/>
      </c>
      <c r="E428" s="1" t="str">
        <f>IFERROR(INDEX(Players!$F$4:$F$503,MATCH(425,Players!$L$4:$L$503,0)),"")</f>
        <v/>
      </c>
      <c r="F428" s="1" t="str">
        <f>IFERROR(INDEX(Players!$I$4:$I$503,MATCH(425,Players!$L$4:$L$503,0)),"")</f>
        <v/>
      </c>
    </row>
    <row r="429" spans="1:6">
      <c r="A429" s="1" t="str">
        <f>IFERROR(INDEX(Players!$B$4:$B$503,MATCH(426,Players!$L$4:$L$503,0)),"")</f>
        <v/>
      </c>
      <c r="B429" s="1" t="str">
        <f>IFERROR(INDEX(Players!$C$4:$C$503,MATCH(426,Players!$L$4:$L$503,0)),"")</f>
        <v/>
      </c>
      <c r="C429" s="1" t="str">
        <f>IFERROR(INDEX(Players!$D$4:$D$503,MATCH(426,Players!$L$4:$L$503,0)),"")</f>
        <v/>
      </c>
      <c r="D429" s="7" t="str">
        <f>IFERROR(INDEX(Players!$E$4:$E$503,MATCH(426,Players!$L$4:$L$503,0)),"")</f>
        <v/>
      </c>
      <c r="E429" s="1" t="str">
        <f>IFERROR(INDEX(Players!$F$4:$F$503,MATCH(426,Players!$L$4:$L$503,0)),"")</f>
        <v/>
      </c>
      <c r="F429" s="1" t="str">
        <f>IFERROR(INDEX(Players!$I$4:$I$503,MATCH(426,Players!$L$4:$L$503,0)),"")</f>
        <v/>
      </c>
    </row>
    <row r="430" spans="1:6">
      <c r="A430" s="1" t="str">
        <f>IFERROR(INDEX(Players!$B$4:$B$503,MATCH(427,Players!$L$4:$L$503,0)),"")</f>
        <v/>
      </c>
      <c r="B430" s="1" t="str">
        <f>IFERROR(INDEX(Players!$C$4:$C$503,MATCH(427,Players!$L$4:$L$503,0)),"")</f>
        <v/>
      </c>
      <c r="C430" s="1" t="str">
        <f>IFERROR(INDEX(Players!$D$4:$D$503,MATCH(427,Players!$L$4:$L$503,0)),"")</f>
        <v/>
      </c>
      <c r="D430" s="7" t="str">
        <f>IFERROR(INDEX(Players!$E$4:$E$503,MATCH(427,Players!$L$4:$L$503,0)),"")</f>
        <v/>
      </c>
      <c r="E430" s="1" t="str">
        <f>IFERROR(INDEX(Players!$F$4:$F$503,MATCH(427,Players!$L$4:$L$503,0)),"")</f>
        <v/>
      </c>
      <c r="F430" s="1" t="str">
        <f>IFERROR(INDEX(Players!$I$4:$I$503,MATCH(427,Players!$L$4:$L$503,0)),"")</f>
        <v/>
      </c>
    </row>
    <row r="431" spans="1:6">
      <c r="A431" s="1" t="str">
        <f>IFERROR(INDEX(Players!$B$4:$B$503,MATCH(428,Players!$L$4:$L$503,0)),"")</f>
        <v/>
      </c>
      <c r="B431" s="1" t="str">
        <f>IFERROR(INDEX(Players!$C$4:$C$503,MATCH(428,Players!$L$4:$L$503,0)),"")</f>
        <v/>
      </c>
      <c r="C431" s="1" t="str">
        <f>IFERROR(INDEX(Players!$D$4:$D$503,MATCH(428,Players!$L$4:$L$503,0)),"")</f>
        <v/>
      </c>
      <c r="D431" s="7" t="str">
        <f>IFERROR(INDEX(Players!$E$4:$E$503,MATCH(428,Players!$L$4:$L$503,0)),"")</f>
        <v/>
      </c>
      <c r="E431" s="1" t="str">
        <f>IFERROR(INDEX(Players!$F$4:$F$503,MATCH(428,Players!$L$4:$L$503,0)),"")</f>
        <v/>
      </c>
      <c r="F431" s="1" t="str">
        <f>IFERROR(INDEX(Players!$I$4:$I$503,MATCH(428,Players!$L$4:$L$503,0)),"")</f>
        <v/>
      </c>
    </row>
    <row r="432" spans="1:6">
      <c r="A432" s="1" t="str">
        <f>IFERROR(INDEX(Players!$B$4:$B$503,MATCH(429,Players!$L$4:$L$503,0)),"")</f>
        <v/>
      </c>
      <c r="B432" s="1" t="str">
        <f>IFERROR(INDEX(Players!$C$4:$C$503,MATCH(429,Players!$L$4:$L$503,0)),"")</f>
        <v/>
      </c>
      <c r="C432" s="1" t="str">
        <f>IFERROR(INDEX(Players!$D$4:$D$503,MATCH(429,Players!$L$4:$L$503,0)),"")</f>
        <v/>
      </c>
      <c r="D432" s="7" t="str">
        <f>IFERROR(INDEX(Players!$E$4:$E$503,MATCH(429,Players!$L$4:$L$503,0)),"")</f>
        <v/>
      </c>
      <c r="E432" s="1" t="str">
        <f>IFERROR(INDEX(Players!$F$4:$F$503,MATCH(429,Players!$L$4:$L$503,0)),"")</f>
        <v/>
      </c>
      <c r="F432" s="1" t="str">
        <f>IFERROR(INDEX(Players!$I$4:$I$503,MATCH(429,Players!$L$4:$L$503,0)),"")</f>
        <v/>
      </c>
    </row>
    <row r="433" spans="1:6">
      <c r="A433" s="1" t="str">
        <f>IFERROR(INDEX(Players!$B$4:$B$503,MATCH(430,Players!$L$4:$L$503,0)),"")</f>
        <v/>
      </c>
      <c r="B433" s="1" t="str">
        <f>IFERROR(INDEX(Players!$C$4:$C$503,MATCH(430,Players!$L$4:$L$503,0)),"")</f>
        <v/>
      </c>
      <c r="C433" s="1" t="str">
        <f>IFERROR(INDEX(Players!$D$4:$D$503,MATCH(430,Players!$L$4:$L$503,0)),"")</f>
        <v/>
      </c>
      <c r="D433" s="7" t="str">
        <f>IFERROR(INDEX(Players!$E$4:$E$503,MATCH(430,Players!$L$4:$L$503,0)),"")</f>
        <v/>
      </c>
      <c r="E433" s="1" t="str">
        <f>IFERROR(INDEX(Players!$F$4:$F$503,MATCH(430,Players!$L$4:$L$503,0)),"")</f>
        <v/>
      </c>
      <c r="F433" s="1" t="str">
        <f>IFERROR(INDEX(Players!$I$4:$I$503,MATCH(430,Players!$L$4:$L$503,0)),"")</f>
        <v/>
      </c>
    </row>
    <row r="434" spans="1:6">
      <c r="A434" s="1" t="str">
        <f>IFERROR(INDEX(Players!$B$4:$B$503,MATCH(431,Players!$L$4:$L$503,0)),"")</f>
        <v/>
      </c>
      <c r="B434" s="1" t="str">
        <f>IFERROR(INDEX(Players!$C$4:$C$503,MATCH(431,Players!$L$4:$L$503,0)),"")</f>
        <v/>
      </c>
      <c r="C434" s="1" t="str">
        <f>IFERROR(INDEX(Players!$D$4:$D$503,MATCH(431,Players!$L$4:$L$503,0)),"")</f>
        <v/>
      </c>
      <c r="D434" s="7" t="str">
        <f>IFERROR(INDEX(Players!$E$4:$E$503,MATCH(431,Players!$L$4:$L$503,0)),"")</f>
        <v/>
      </c>
      <c r="E434" s="1" t="str">
        <f>IFERROR(INDEX(Players!$F$4:$F$503,MATCH(431,Players!$L$4:$L$503,0)),"")</f>
        <v/>
      </c>
      <c r="F434" s="1" t="str">
        <f>IFERROR(INDEX(Players!$I$4:$I$503,MATCH(431,Players!$L$4:$L$503,0)),"")</f>
        <v/>
      </c>
    </row>
    <row r="435" spans="1:6">
      <c r="A435" s="1" t="str">
        <f>IFERROR(INDEX(Players!$B$4:$B$503,MATCH(432,Players!$L$4:$L$503,0)),"")</f>
        <v/>
      </c>
      <c r="B435" s="1" t="str">
        <f>IFERROR(INDEX(Players!$C$4:$C$503,MATCH(432,Players!$L$4:$L$503,0)),"")</f>
        <v/>
      </c>
      <c r="C435" s="1" t="str">
        <f>IFERROR(INDEX(Players!$D$4:$D$503,MATCH(432,Players!$L$4:$L$503,0)),"")</f>
        <v/>
      </c>
      <c r="D435" s="7" t="str">
        <f>IFERROR(INDEX(Players!$E$4:$E$503,MATCH(432,Players!$L$4:$L$503,0)),"")</f>
        <v/>
      </c>
      <c r="E435" s="1" t="str">
        <f>IFERROR(INDEX(Players!$F$4:$F$503,MATCH(432,Players!$L$4:$L$503,0)),"")</f>
        <v/>
      </c>
      <c r="F435" s="1" t="str">
        <f>IFERROR(INDEX(Players!$I$4:$I$503,MATCH(432,Players!$L$4:$L$503,0)),"")</f>
        <v/>
      </c>
    </row>
    <row r="436" spans="1:6">
      <c r="A436" s="1" t="str">
        <f>IFERROR(INDEX(Players!$B$4:$B$503,MATCH(433,Players!$L$4:$L$503,0)),"")</f>
        <v/>
      </c>
      <c r="B436" s="1" t="str">
        <f>IFERROR(INDEX(Players!$C$4:$C$503,MATCH(433,Players!$L$4:$L$503,0)),"")</f>
        <v/>
      </c>
      <c r="C436" s="1" t="str">
        <f>IFERROR(INDEX(Players!$D$4:$D$503,MATCH(433,Players!$L$4:$L$503,0)),"")</f>
        <v/>
      </c>
      <c r="D436" s="7" t="str">
        <f>IFERROR(INDEX(Players!$E$4:$E$503,MATCH(433,Players!$L$4:$L$503,0)),"")</f>
        <v/>
      </c>
      <c r="E436" s="1" t="str">
        <f>IFERROR(INDEX(Players!$F$4:$F$503,MATCH(433,Players!$L$4:$L$503,0)),"")</f>
        <v/>
      </c>
      <c r="F436" s="1" t="str">
        <f>IFERROR(INDEX(Players!$I$4:$I$503,MATCH(433,Players!$L$4:$L$503,0)),"")</f>
        <v/>
      </c>
    </row>
    <row r="437" spans="1:6">
      <c r="A437" s="1" t="str">
        <f>IFERROR(INDEX(Players!$B$4:$B$503,MATCH(434,Players!$L$4:$L$503,0)),"")</f>
        <v/>
      </c>
      <c r="B437" s="1" t="str">
        <f>IFERROR(INDEX(Players!$C$4:$C$503,MATCH(434,Players!$L$4:$L$503,0)),"")</f>
        <v/>
      </c>
      <c r="C437" s="1" t="str">
        <f>IFERROR(INDEX(Players!$D$4:$D$503,MATCH(434,Players!$L$4:$L$503,0)),"")</f>
        <v/>
      </c>
      <c r="D437" s="7" t="str">
        <f>IFERROR(INDEX(Players!$E$4:$E$503,MATCH(434,Players!$L$4:$L$503,0)),"")</f>
        <v/>
      </c>
      <c r="E437" s="1" t="str">
        <f>IFERROR(INDEX(Players!$F$4:$F$503,MATCH(434,Players!$L$4:$L$503,0)),"")</f>
        <v/>
      </c>
      <c r="F437" s="1" t="str">
        <f>IFERROR(INDEX(Players!$I$4:$I$503,MATCH(434,Players!$L$4:$L$503,0)),"")</f>
        <v/>
      </c>
    </row>
    <row r="438" spans="1:6">
      <c r="A438" s="1" t="str">
        <f>IFERROR(INDEX(Players!$B$4:$B$503,MATCH(435,Players!$L$4:$L$503,0)),"")</f>
        <v/>
      </c>
      <c r="B438" s="1" t="str">
        <f>IFERROR(INDEX(Players!$C$4:$C$503,MATCH(435,Players!$L$4:$L$503,0)),"")</f>
        <v/>
      </c>
      <c r="C438" s="1" t="str">
        <f>IFERROR(INDEX(Players!$D$4:$D$503,MATCH(435,Players!$L$4:$L$503,0)),"")</f>
        <v/>
      </c>
      <c r="D438" s="7" t="str">
        <f>IFERROR(INDEX(Players!$E$4:$E$503,MATCH(435,Players!$L$4:$L$503,0)),"")</f>
        <v/>
      </c>
      <c r="E438" s="1" t="str">
        <f>IFERROR(INDEX(Players!$F$4:$F$503,MATCH(435,Players!$L$4:$L$503,0)),"")</f>
        <v/>
      </c>
      <c r="F438" s="1" t="str">
        <f>IFERROR(INDEX(Players!$I$4:$I$503,MATCH(435,Players!$L$4:$L$503,0)),"")</f>
        <v/>
      </c>
    </row>
    <row r="439" spans="1:6">
      <c r="A439" s="1" t="str">
        <f>IFERROR(INDEX(Players!$B$4:$B$503,MATCH(436,Players!$L$4:$L$503,0)),"")</f>
        <v/>
      </c>
      <c r="B439" s="1" t="str">
        <f>IFERROR(INDEX(Players!$C$4:$C$503,MATCH(436,Players!$L$4:$L$503,0)),"")</f>
        <v/>
      </c>
      <c r="C439" s="1" t="str">
        <f>IFERROR(INDEX(Players!$D$4:$D$503,MATCH(436,Players!$L$4:$L$503,0)),"")</f>
        <v/>
      </c>
      <c r="D439" s="7" t="str">
        <f>IFERROR(INDEX(Players!$E$4:$E$503,MATCH(436,Players!$L$4:$L$503,0)),"")</f>
        <v/>
      </c>
      <c r="E439" s="1" t="str">
        <f>IFERROR(INDEX(Players!$F$4:$F$503,MATCH(436,Players!$L$4:$L$503,0)),"")</f>
        <v/>
      </c>
      <c r="F439" s="1" t="str">
        <f>IFERROR(INDEX(Players!$I$4:$I$503,MATCH(436,Players!$L$4:$L$503,0)),"")</f>
        <v/>
      </c>
    </row>
    <row r="440" spans="1:6">
      <c r="A440" s="1" t="str">
        <f>IFERROR(INDEX(Players!$B$4:$B$503,MATCH(437,Players!$L$4:$L$503,0)),"")</f>
        <v/>
      </c>
      <c r="B440" s="1" t="str">
        <f>IFERROR(INDEX(Players!$C$4:$C$503,MATCH(437,Players!$L$4:$L$503,0)),"")</f>
        <v/>
      </c>
      <c r="C440" s="1" t="str">
        <f>IFERROR(INDEX(Players!$D$4:$D$503,MATCH(437,Players!$L$4:$L$503,0)),"")</f>
        <v/>
      </c>
      <c r="D440" s="7" t="str">
        <f>IFERROR(INDEX(Players!$E$4:$E$503,MATCH(437,Players!$L$4:$L$503,0)),"")</f>
        <v/>
      </c>
      <c r="E440" s="1" t="str">
        <f>IFERROR(INDEX(Players!$F$4:$F$503,MATCH(437,Players!$L$4:$L$503,0)),"")</f>
        <v/>
      </c>
      <c r="F440" s="1" t="str">
        <f>IFERROR(INDEX(Players!$I$4:$I$503,MATCH(437,Players!$L$4:$L$503,0)),"")</f>
        <v/>
      </c>
    </row>
    <row r="441" spans="1:6">
      <c r="A441" s="1" t="str">
        <f>IFERROR(INDEX(Players!$B$4:$B$503,MATCH(438,Players!$L$4:$L$503,0)),"")</f>
        <v/>
      </c>
      <c r="B441" s="1" t="str">
        <f>IFERROR(INDEX(Players!$C$4:$C$503,MATCH(438,Players!$L$4:$L$503,0)),"")</f>
        <v/>
      </c>
      <c r="C441" s="1" t="str">
        <f>IFERROR(INDEX(Players!$D$4:$D$503,MATCH(438,Players!$L$4:$L$503,0)),"")</f>
        <v/>
      </c>
      <c r="D441" s="7" t="str">
        <f>IFERROR(INDEX(Players!$E$4:$E$503,MATCH(438,Players!$L$4:$L$503,0)),"")</f>
        <v/>
      </c>
      <c r="E441" s="1" t="str">
        <f>IFERROR(INDEX(Players!$F$4:$F$503,MATCH(438,Players!$L$4:$L$503,0)),"")</f>
        <v/>
      </c>
      <c r="F441" s="1" t="str">
        <f>IFERROR(INDEX(Players!$I$4:$I$503,MATCH(438,Players!$L$4:$L$503,0)),"")</f>
        <v/>
      </c>
    </row>
    <row r="442" spans="1:6">
      <c r="A442" s="1" t="str">
        <f>IFERROR(INDEX(Players!$B$4:$B$503,MATCH(439,Players!$L$4:$L$503,0)),"")</f>
        <v/>
      </c>
      <c r="B442" s="1" t="str">
        <f>IFERROR(INDEX(Players!$C$4:$C$503,MATCH(439,Players!$L$4:$L$503,0)),"")</f>
        <v/>
      </c>
      <c r="C442" s="1" t="str">
        <f>IFERROR(INDEX(Players!$D$4:$D$503,MATCH(439,Players!$L$4:$L$503,0)),"")</f>
        <v/>
      </c>
      <c r="D442" s="7" t="str">
        <f>IFERROR(INDEX(Players!$E$4:$E$503,MATCH(439,Players!$L$4:$L$503,0)),"")</f>
        <v/>
      </c>
      <c r="E442" s="1" t="str">
        <f>IFERROR(INDEX(Players!$F$4:$F$503,MATCH(439,Players!$L$4:$L$503,0)),"")</f>
        <v/>
      </c>
      <c r="F442" s="1" t="str">
        <f>IFERROR(INDEX(Players!$I$4:$I$503,MATCH(439,Players!$L$4:$L$503,0)),"")</f>
        <v/>
      </c>
    </row>
    <row r="443" spans="1:6">
      <c r="A443" s="1" t="str">
        <f>IFERROR(INDEX(Players!$B$4:$B$503,MATCH(440,Players!$L$4:$L$503,0)),"")</f>
        <v/>
      </c>
      <c r="B443" s="1" t="str">
        <f>IFERROR(INDEX(Players!$C$4:$C$503,MATCH(440,Players!$L$4:$L$503,0)),"")</f>
        <v/>
      </c>
      <c r="C443" s="1" t="str">
        <f>IFERROR(INDEX(Players!$D$4:$D$503,MATCH(440,Players!$L$4:$L$503,0)),"")</f>
        <v/>
      </c>
      <c r="D443" s="7" t="str">
        <f>IFERROR(INDEX(Players!$E$4:$E$503,MATCH(440,Players!$L$4:$L$503,0)),"")</f>
        <v/>
      </c>
      <c r="E443" s="1" t="str">
        <f>IFERROR(INDEX(Players!$F$4:$F$503,MATCH(440,Players!$L$4:$L$503,0)),"")</f>
        <v/>
      </c>
      <c r="F443" s="1" t="str">
        <f>IFERROR(INDEX(Players!$I$4:$I$503,MATCH(440,Players!$L$4:$L$503,0)),"")</f>
        <v/>
      </c>
    </row>
    <row r="444" spans="1:6">
      <c r="A444" s="1" t="str">
        <f>IFERROR(INDEX(Players!$B$4:$B$503,MATCH(441,Players!$L$4:$L$503,0)),"")</f>
        <v/>
      </c>
      <c r="B444" s="1" t="str">
        <f>IFERROR(INDEX(Players!$C$4:$C$503,MATCH(441,Players!$L$4:$L$503,0)),"")</f>
        <v/>
      </c>
      <c r="C444" s="1" t="str">
        <f>IFERROR(INDEX(Players!$D$4:$D$503,MATCH(441,Players!$L$4:$L$503,0)),"")</f>
        <v/>
      </c>
      <c r="D444" s="7" t="str">
        <f>IFERROR(INDEX(Players!$E$4:$E$503,MATCH(441,Players!$L$4:$L$503,0)),"")</f>
        <v/>
      </c>
      <c r="E444" s="1" t="str">
        <f>IFERROR(INDEX(Players!$F$4:$F$503,MATCH(441,Players!$L$4:$L$503,0)),"")</f>
        <v/>
      </c>
      <c r="F444" s="1" t="str">
        <f>IFERROR(INDEX(Players!$I$4:$I$503,MATCH(441,Players!$L$4:$L$503,0)),"")</f>
        <v/>
      </c>
    </row>
    <row r="445" spans="1:6">
      <c r="A445" s="1" t="str">
        <f>IFERROR(INDEX(Players!$B$4:$B$503,MATCH(442,Players!$L$4:$L$503,0)),"")</f>
        <v/>
      </c>
      <c r="B445" s="1" t="str">
        <f>IFERROR(INDEX(Players!$C$4:$C$503,MATCH(442,Players!$L$4:$L$503,0)),"")</f>
        <v/>
      </c>
      <c r="C445" s="1" t="str">
        <f>IFERROR(INDEX(Players!$D$4:$D$503,MATCH(442,Players!$L$4:$L$503,0)),"")</f>
        <v/>
      </c>
      <c r="D445" s="7" t="str">
        <f>IFERROR(INDEX(Players!$E$4:$E$503,MATCH(442,Players!$L$4:$L$503,0)),"")</f>
        <v/>
      </c>
      <c r="E445" s="1" t="str">
        <f>IFERROR(INDEX(Players!$F$4:$F$503,MATCH(442,Players!$L$4:$L$503,0)),"")</f>
        <v/>
      </c>
      <c r="F445" s="1" t="str">
        <f>IFERROR(INDEX(Players!$I$4:$I$503,MATCH(442,Players!$L$4:$L$503,0)),"")</f>
        <v/>
      </c>
    </row>
    <row r="446" spans="1:6">
      <c r="A446" s="1" t="str">
        <f>IFERROR(INDEX(Players!$B$4:$B$503,MATCH(443,Players!$L$4:$L$503,0)),"")</f>
        <v/>
      </c>
      <c r="B446" s="1" t="str">
        <f>IFERROR(INDEX(Players!$C$4:$C$503,MATCH(443,Players!$L$4:$L$503,0)),"")</f>
        <v/>
      </c>
      <c r="C446" s="1" t="str">
        <f>IFERROR(INDEX(Players!$D$4:$D$503,MATCH(443,Players!$L$4:$L$503,0)),"")</f>
        <v/>
      </c>
      <c r="D446" s="7" t="str">
        <f>IFERROR(INDEX(Players!$E$4:$E$503,MATCH(443,Players!$L$4:$L$503,0)),"")</f>
        <v/>
      </c>
      <c r="E446" s="1" t="str">
        <f>IFERROR(INDEX(Players!$F$4:$F$503,MATCH(443,Players!$L$4:$L$503,0)),"")</f>
        <v/>
      </c>
      <c r="F446" s="1" t="str">
        <f>IFERROR(INDEX(Players!$I$4:$I$503,MATCH(443,Players!$L$4:$L$503,0)),"")</f>
        <v/>
      </c>
    </row>
    <row r="447" spans="1:6">
      <c r="A447" s="1" t="str">
        <f>IFERROR(INDEX(Players!$B$4:$B$503,MATCH(444,Players!$L$4:$L$503,0)),"")</f>
        <v/>
      </c>
      <c r="B447" s="1" t="str">
        <f>IFERROR(INDEX(Players!$C$4:$C$503,MATCH(444,Players!$L$4:$L$503,0)),"")</f>
        <v/>
      </c>
      <c r="C447" s="1" t="str">
        <f>IFERROR(INDEX(Players!$D$4:$D$503,MATCH(444,Players!$L$4:$L$503,0)),"")</f>
        <v/>
      </c>
      <c r="D447" s="7" t="str">
        <f>IFERROR(INDEX(Players!$E$4:$E$503,MATCH(444,Players!$L$4:$L$503,0)),"")</f>
        <v/>
      </c>
      <c r="E447" s="1" t="str">
        <f>IFERROR(INDEX(Players!$F$4:$F$503,MATCH(444,Players!$L$4:$L$503,0)),"")</f>
        <v/>
      </c>
      <c r="F447" s="1" t="str">
        <f>IFERROR(INDEX(Players!$I$4:$I$503,MATCH(444,Players!$L$4:$L$503,0)),"")</f>
        <v/>
      </c>
    </row>
    <row r="448" spans="1:6">
      <c r="A448" s="1" t="str">
        <f>IFERROR(INDEX(Players!$B$4:$B$503,MATCH(445,Players!$L$4:$L$503,0)),"")</f>
        <v/>
      </c>
      <c r="B448" s="1" t="str">
        <f>IFERROR(INDEX(Players!$C$4:$C$503,MATCH(445,Players!$L$4:$L$503,0)),"")</f>
        <v/>
      </c>
      <c r="C448" s="1" t="str">
        <f>IFERROR(INDEX(Players!$D$4:$D$503,MATCH(445,Players!$L$4:$L$503,0)),"")</f>
        <v/>
      </c>
      <c r="D448" s="7" t="str">
        <f>IFERROR(INDEX(Players!$E$4:$E$503,MATCH(445,Players!$L$4:$L$503,0)),"")</f>
        <v/>
      </c>
      <c r="E448" s="1" t="str">
        <f>IFERROR(INDEX(Players!$F$4:$F$503,MATCH(445,Players!$L$4:$L$503,0)),"")</f>
        <v/>
      </c>
      <c r="F448" s="1" t="str">
        <f>IFERROR(INDEX(Players!$I$4:$I$503,MATCH(445,Players!$L$4:$L$503,0)),"")</f>
        <v/>
      </c>
    </row>
    <row r="449" spans="1:6">
      <c r="A449" s="1" t="str">
        <f>IFERROR(INDEX(Players!$B$4:$B$503,MATCH(446,Players!$L$4:$L$503,0)),"")</f>
        <v/>
      </c>
      <c r="B449" s="1" t="str">
        <f>IFERROR(INDEX(Players!$C$4:$C$503,MATCH(446,Players!$L$4:$L$503,0)),"")</f>
        <v/>
      </c>
      <c r="C449" s="1" t="str">
        <f>IFERROR(INDEX(Players!$D$4:$D$503,MATCH(446,Players!$L$4:$L$503,0)),"")</f>
        <v/>
      </c>
      <c r="D449" s="7" t="str">
        <f>IFERROR(INDEX(Players!$E$4:$E$503,MATCH(446,Players!$L$4:$L$503,0)),"")</f>
        <v/>
      </c>
      <c r="E449" s="1" t="str">
        <f>IFERROR(INDEX(Players!$F$4:$F$503,MATCH(446,Players!$L$4:$L$503,0)),"")</f>
        <v/>
      </c>
      <c r="F449" s="1" t="str">
        <f>IFERROR(INDEX(Players!$I$4:$I$503,MATCH(446,Players!$L$4:$L$503,0)),"")</f>
        <v/>
      </c>
    </row>
    <row r="450" spans="1:6">
      <c r="A450" s="1" t="str">
        <f>IFERROR(INDEX(Players!$B$4:$B$503,MATCH(447,Players!$L$4:$L$503,0)),"")</f>
        <v/>
      </c>
      <c r="B450" s="1" t="str">
        <f>IFERROR(INDEX(Players!$C$4:$C$503,MATCH(447,Players!$L$4:$L$503,0)),"")</f>
        <v/>
      </c>
      <c r="C450" s="1" t="str">
        <f>IFERROR(INDEX(Players!$D$4:$D$503,MATCH(447,Players!$L$4:$L$503,0)),"")</f>
        <v/>
      </c>
      <c r="D450" s="7" t="str">
        <f>IFERROR(INDEX(Players!$E$4:$E$503,MATCH(447,Players!$L$4:$L$503,0)),"")</f>
        <v/>
      </c>
      <c r="E450" s="1" t="str">
        <f>IFERROR(INDEX(Players!$F$4:$F$503,MATCH(447,Players!$L$4:$L$503,0)),"")</f>
        <v/>
      </c>
      <c r="F450" s="1" t="str">
        <f>IFERROR(INDEX(Players!$I$4:$I$503,MATCH(447,Players!$L$4:$L$503,0)),"")</f>
        <v/>
      </c>
    </row>
    <row r="451" spans="1:6">
      <c r="A451" s="1" t="str">
        <f>IFERROR(INDEX(Players!$B$4:$B$503,MATCH(448,Players!$L$4:$L$503,0)),"")</f>
        <v/>
      </c>
      <c r="B451" s="1" t="str">
        <f>IFERROR(INDEX(Players!$C$4:$C$503,MATCH(448,Players!$L$4:$L$503,0)),"")</f>
        <v/>
      </c>
      <c r="C451" s="1" t="str">
        <f>IFERROR(INDEX(Players!$D$4:$D$503,MATCH(448,Players!$L$4:$L$503,0)),"")</f>
        <v/>
      </c>
      <c r="D451" s="7" t="str">
        <f>IFERROR(INDEX(Players!$E$4:$E$503,MATCH(448,Players!$L$4:$L$503,0)),"")</f>
        <v/>
      </c>
      <c r="E451" s="1" t="str">
        <f>IFERROR(INDEX(Players!$F$4:$F$503,MATCH(448,Players!$L$4:$L$503,0)),"")</f>
        <v/>
      </c>
      <c r="F451" s="1" t="str">
        <f>IFERROR(INDEX(Players!$I$4:$I$503,MATCH(448,Players!$L$4:$L$503,0)),"")</f>
        <v/>
      </c>
    </row>
    <row r="452" spans="1:6">
      <c r="A452" s="1" t="str">
        <f>IFERROR(INDEX(Players!$B$4:$B$503,MATCH(449,Players!$L$4:$L$503,0)),"")</f>
        <v/>
      </c>
      <c r="B452" s="1" t="str">
        <f>IFERROR(INDEX(Players!$C$4:$C$503,MATCH(449,Players!$L$4:$L$503,0)),"")</f>
        <v/>
      </c>
      <c r="C452" s="1" t="str">
        <f>IFERROR(INDEX(Players!$D$4:$D$503,MATCH(449,Players!$L$4:$L$503,0)),"")</f>
        <v/>
      </c>
      <c r="D452" s="7" t="str">
        <f>IFERROR(INDEX(Players!$E$4:$E$503,MATCH(449,Players!$L$4:$L$503,0)),"")</f>
        <v/>
      </c>
      <c r="E452" s="1" t="str">
        <f>IFERROR(INDEX(Players!$F$4:$F$503,MATCH(449,Players!$L$4:$L$503,0)),"")</f>
        <v/>
      </c>
      <c r="F452" s="1" t="str">
        <f>IFERROR(INDEX(Players!$I$4:$I$503,MATCH(449,Players!$L$4:$L$503,0)),"")</f>
        <v/>
      </c>
    </row>
    <row r="453" spans="1:6">
      <c r="A453" s="1" t="str">
        <f>IFERROR(INDEX(Players!$B$4:$B$503,MATCH(450,Players!$L$4:$L$503,0)),"")</f>
        <v/>
      </c>
      <c r="B453" s="1" t="str">
        <f>IFERROR(INDEX(Players!$C$4:$C$503,MATCH(450,Players!$L$4:$L$503,0)),"")</f>
        <v/>
      </c>
      <c r="C453" s="1" t="str">
        <f>IFERROR(INDEX(Players!$D$4:$D$503,MATCH(450,Players!$L$4:$L$503,0)),"")</f>
        <v/>
      </c>
      <c r="D453" s="7" t="str">
        <f>IFERROR(INDEX(Players!$E$4:$E$503,MATCH(450,Players!$L$4:$L$503,0)),"")</f>
        <v/>
      </c>
      <c r="E453" s="1" t="str">
        <f>IFERROR(INDEX(Players!$F$4:$F$503,MATCH(450,Players!$L$4:$L$503,0)),"")</f>
        <v/>
      </c>
      <c r="F453" s="1" t="str">
        <f>IFERROR(INDEX(Players!$I$4:$I$503,MATCH(450,Players!$L$4:$L$503,0)),"")</f>
        <v/>
      </c>
    </row>
    <row r="454" spans="1:6">
      <c r="A454" s="1" t="str">
        <f>IFERROR(INDEX(Players!$B$4:$B$503,MATCH(451,Players!$L$4:$L$503,0)),"")</f>
        <v/>
      </c>
      <c r="B454" s="1" t="str">
        <f>IFERROR(INDEX(Players!$C$4:$C$503,MATCH(451,Players!$L$4:$L$503,0)),"")</f>
        <v/>
      </c>
      <c r="C454" s="1" t="str">
        <f>IFERROR(INDEX(Players!$D$4:$D$503,MATCH(451,Players!$L$4:$L$503,0)),"")</f>
        <v/>
      </c>
      <c r="D454" s="7" t="str">
        <f>IFERROR(INDEX(Players!$E$4:$E$503,MATCH(451,Players!$L$4:$L$503,0)),"")</f>
        <v/>
      </c>
      <c r="E454" s="1" t="str">
        <f>IFERROR(INDEX(Players!$F$4:$F$503,MATCH(451,Players!$L$4:$L$503,0)),"")</f>
        <v/>
      </c>
      <c r="F454" s="1" t="str">
        <f>IFERROR(INDEX(Players!$I$4:$I$503,MATCH(451,Players!$L$4:$L$503,0)),"")</f>
        <v/>
      </c>
    </row>
    <row r="455" spans="1:6">
      <c r="A455" s="1" t="str">
        <f>IFERROR(INDEX(Players!$B$4:$B$503,MATCH(452,Players!$L$4:$L$503,0)),"")</f>
        <v/>
      </c>
      <c r="B455" s="1" t="str">
        <f>IFERROR(INDEX(Players!$C$4:$C$503,MATCH(452,Players!$L$4:$L$503,0)),"")</f>
        <v/>
      </c>
      <c r="C455" s="1" t="str">
        <f>IFERROR(INDEX(Players!$D$4:$D$503,MATCH(452,Players!$L$4:$L$503,0)),"")</f>
        <v/>
      </c>
      <c r="D455" s="7" t="str">
        <f>IFERROR(INDEX(Players!$E$4:$E$503,MATCH(452,Players!$L$4:$L$503,0)),"")</f>
        <v/>
      </c>
      <c r="E455" s="1" t="str">
        <f>IFERROR(INDEX(Players!$F$4:$F$503,MATCH(452,Players!$L$4:$L$503,0)),"")</f>
        <v/>
      </c>
      <c r="F455" s="1" t="str">
        <f>IFERROR(INDEX(Players!$I$4:$I$503,MATCH(452,Players!$L$4:$L$503,0)),"")</f>
        <v/>
      </c>
    </row>
    <row r="456" spans="1:6">
      <c r="A456" s="1" t="str">
        <f>IFERROR(INDEX(Players!$B$4:$B$503,MATCH(453,Players!$L$4:$L$503,0)),"")</f>
        <v/>
      </c>
      <c r="B456" s="1" t="str">
        <f>IFERROR(INDEX(Players!$C$4:$C$503,MATCH(453,Players!$L$4:$L$503,0)),"")</f>
        <v/>
      </c>
      <c r="C456" s="1" t="str">
        <f>IFERROR(INDEX(Players!$D$4:$D$503,MATCH(453,Players!$L$4:$L$503,0)),"")</f>
        <v/>
      </c>
      <c r="D456" s="7" t="str">
        <f>IFERROR(INDEX(Players!$E$4:$E$503,MATCH(453,Players!$L$4:$L$503,0)),"")</f>
        <v/>
      </c>
      <c r="E456" s="1" t="str">
        <f>IFERROR(INDEX(Players!$F$4:$F$503,MATCH(453,Players!$L$4:$L$503,0)),"")</f>
        <v/>
      </c>
      <c r="F456" s="1" t="str">
        <f>IFERROR(INDEX(Players!$I$4:$I$503,MATCH(453,Players!$L$4:$L$503,0)),"")</f>
        <v/>
      </c>
    </row>
    <row r="457" spans="1:6">
      <c r="A457" s="1" t="str">
        <f>IFERROR(INDEX(Players!$B$4:$B$503,MATCH(454,Players!$L$4:$L$503,0)),"")</f>
        <v/>
      </c>
      <c r="B457" s="1" t="str">
        <f>IFERROR(INDEX(Players!$C$4:$C$503,MATCH(454,Players!$L$4:$L$503,0)),"")</f>
        <v/>
      </c>
      <c r="C457" s="1" t="str">
        <f>IFERROR(INDEX(Players!$D$4:$D$503,MATCH(454,Players!$L$4:$L$503,0)),"")</f>
        <v/>
      </c>
      <c r="D457" s="7" t="str">
        <f>IFERROR(INDEX(Players!$E$4:$E$503,MATCH(454,Players!$L$4:$L$503,0)),"")</f>
        <v/>
      </c>
      <c r="E457" s="1" t="str">
        <f>IFERROR(INDEX(Players!$F$4:$F$503,MATCH(454,Players!$L$4:$L$503,0)),"")</f>
        <v/>
      </c>
      <c r="F457" s="1" t="str">
        <f>IFERROR(INDEX(Players!$I$4:$I$503,MATCH(454,Players!$L$4:$L$503,0)),"")</f>
        <v/>
      </c>
    </row>
    <row r="458" spans="1:6">
      <c r="A458" s="1" t="str">
        <f>IFERROR(INDEX(Players!$B$4:$B$503,MATCH(455,Players!$L$4:$L$503,0)),"")</f>
        <v/>
      </c>
      <c r="B458" s="1" t="str">
        <f>IFERROR(INDEX(Players!$C$4:$C$503,MATCH(455,Players!$L$4:$L$503,0)),"")</f>
        <v/>
      </c>
      <c r="C458" s="1" t="str">
        <f>IFERROR(INDEX(Players!$D$4:$D$503,MATCH(455,Players!$L$4:$L$503,0)),"")</f>
        <v/>
      </c>
      <c r="D458" s="7" t="str">
        <f>IFERROR(INDEX(Players!$E$4:$E$503,MATCH(455,Players!$L$4:$L$503,0)),"")</f>
        <v/>
      </c>
      <c r="E458" s="1" t="str">
        <f>IFERROR(INDEX(Players!$F$4:$F$503,MATCH(455,Players!$L$4:$L$503,0)),"")</f>
        <v/>
      </c>
      <c r="F458" s="1" t="str">
        <f>IFERROR(INDEX(Players!$I$4:$I$503,MATCH(455,Players!$L$4:$L$503,0)),"")</f>
        <v/>
      </c>
    </row>
    <row r="459" spans="1:6">
      <c r="A459" s="1" t="str">
        <f>IFERROR(INDEX(Players!$B$4:$B$503,MATCH(456,Players!$L$4:$L$503,0)),"")</f>
        <v/>
      </c>
      <c r="B459" s="1" t="str">
        <f>IFERROR(INDEX(Players!$C$4:$C$503,MATCH(456,Players!$L$4:$L$503,0)),"")</f>
        <v/>
      </c>
      <c r="C459" s="1" t="str">
        <f>IFERROR(INDEX(Players!$D$4:$D$503,MATCH(456,Players!$L$4:$L$503,0)),"")</f>
        <v/>
      </c>
      <c r="D459" s="7" t="str">
        <f>IFERROR(INDEX(Players!$E$4:$E$503,MATCH(456,Players!$L$4:$L$503,0)),"")</f>
        <v/>
      </c>
      <c r="E459" s="1" t="str">
        <f>IFERROR(INDEX(Players!$F$4:$F$503,MATCH(456,Players!$L$4:$L$503,0)),"")</f>
        <v/>
      </c>
      <c r="F459" s="1" t="str">
        <f>IFERROR(INDEX(Players!$I$4:$I$503,MATCH(456,Players!$L$4:$L$503,0)),"")</f>
        <v/>
      </c>
    </row>
    <row r="460" spans="1:6">
      <c r="A460" s="1" t="str">
        <f>IFERROR(INDEX(Players!$B$4:$B$503,MATCH(457,Players!$L$4:$L$503,0)),"")</f>
        <v/>
      </c>
      <c r="B460" s="1" t="str">
        <f>IFERROR(INDEX(Players!$C$4:$C$503,MATCH(457,Players!$L$4:$L$503,0)),"")</f>
        <v/>
      </c>
      <c r="C460" s="1" t="str">
        <f>IFERROR(INDEX(Players!$D$4:$D$503,MATCH(457,Players!$L$4:$L$503,0)),"")</f>
        <v/>
      </c>
      <c r="D460" s="7" t="str">
        <f>IFERROR(INDEX(Players!$E$4:$E$503,MATCH(457,Players!$L$4:$L$503,0)),"")</f>
        <v/>
      </c>
      <c r="E460" s="1" t="str">
        <f>IFERROR(INDEX(Players!$F$4:$F$503,MATCH(457,Players!$L$4:$L$503,0)),"")</f>
        <v/>
      </c>
      <c r="F460" s="1" t="str">
        <f>IFERROR(INDEX(Players!$I$4:$I$503,MATCH(457,Players!$L$4:$L$503,0)),"")</f>
        <v/>
      </c>
    </row>
    <row r="461" spans="1:6">
      <c r="A461" s="1" t="str">
        <f>IFERROR(INDEX(Players!$B$4:$B$503,MATCH(458,Players!$L$4:$L$503,0)),"")</f>
        <v/>
      </c>
      <c r="B461" s="1" t="str">
        <f>IFERROR(INDEX(Players!$C$4:$C$503,MATCH(458,Players!$L$4:$L$503,0)),"")</f>
        <v/>
      </c>
      <c r="C461" s="1" t="str">
        <f>IFERROR(INDEX(Players!$D$4:$D$503,MATCH(458,Players!$L$4:$L$503,0)),"")</f>
        <v/>
      </c>
      <c r="D461" s="7" t="str">
        <f>IFERROR(INDEX(Players!$E$4:$E$503,MATCH(458,Players!$L$4:$L$503,0)),"")</f>
        <v/>
      </c>
      <c r="E461" s="1" t="str">
        <f>IFERROR(INDEX(Players!$F$4:$F$503,MATCH(458,Players!$L$4:$L$503,0)),"")</f>
        <v/>
      </c>
      <c r="F461" s="1" t="str">
        <f>IFERROR(INDEX(Players!$I$4:$I$503,MATCH(458,Players!$L$4:$L$503,0)),"")</f>
        <v/>
      </c>
    </row>
    <row r="462" spans="1:6">
      <c r="A462" s="1" t="str">
        <f>IFERROR(INDEX(Players!$B$4:$B$503,MATCH(459,Players!$L$4:$L$503,0)),"")</f>
        <v/>
      </c>
      <c r="B462" s="1" t="str">
        <f>IFERROR(INDEX(Players!$C$4:$C$503,MATCH(459,Players!$L$4:$L$503,0)),"")</f>
        <v/>
      </c>
      <c r="C462" s="1" t="str">
        <f>IFERROR(INDEX(Players!$D$4:$D$503,MATCH(459,Players!$L$4:$L$503,0)),"")</f>
        <v/>
      </c>
      <c r="D462" s="7" t="str">
        <f>IFERROR(INDEX(Players!$E$4:$E$503,MATCH(459,Players!$L$4:$L$503,0)),"")</f>
        <v/>
      </c>
      <c r="E462" s="1" t="str">
        <f>IFERROR(INDEX(Players!$F$4:$F$503,MATCH(459,Players!$L$4:$L$503,0)),"")</f>
        <v/>
      </c>
      <c r="F462" s="1" t="str">
        <f>IFERROR(INDEX(Players!$I$4:$I$503,MATCH(459,Players!$L$4:$L$503,0)),"")</f>
        <v/>
      </c>
    </row>
    <row r="463" spans="1:6">
      <c r="A463" s="1" t="str">
        <f>IFERROR(INDEX(Players!$B$4:$B$503,MATCH(460,Players!$L$4:$L$503,0)),"")</f>
        <v/>
      </c>
      <c r="B463" s="1" t="str">
        <f>IFERROR(INDEX(Players!$C$4:$C$503,MATCH(460,Players!$L$4:$L$503,0)),"")</f>
        <v/>
      </c>
      <c r="C463" s="1" t="str">
        <f>IFERROR(INDEX(Players!$D$4:$D$503,MATCH(460,Players!$L$4:$L$503,0)),"")</f>
        <v/>
      </c>
      <c r="D463" s="7" t="str">
        <f>IFERROR(INDEX(Players!$E$4:$E$503,MATCH(460,Players!$L$4:$L$503,0)),"")</f>
        <v/>
      </c>
      <c r="E463" s="1" t="str">
        <f>IFERROR(INDEX(Players!$F$4:$F$503,MATCH(460,Players!$L$4:$L$503,0)),"")</f>
        <v/>
      </c>
      <c r="F463" s="1" t="str">
        <f>IFERROR(INDEX(Players!$I$4:$I$503,MATCH(460,Players!$L$4:$L$503,0)),"")</f>
        <v/>
      </c>
    </row>
    <row r="464" spans="1:6">
      <c r="A464" s="1" t="str">
        <f>IFERROR(INDEX(Players!$B$4:$B$503,MATCH(461,Players!$L$4:$L$503,0)),"")</f>
        <v/>
      </c>
      <c r="B464" s="1" t="str">
        <f>IFERROR(INDEX(Players!$C$4:$C$503,MATCH(461,Players!$L$4:$L$503,0)),"")</f>
        <v/>
      </c>
      <c r="C464" s="1" t="str">
        <f>IFERROR(INDEX(Players!$D$4:$D$503,MATCH(461,Players!$L$4:$L$503,0)),"")</f>
        <v/>
      </c>
      <c r="D464" s="7" t="str">
        <f>IFERROR(INDEX(Players!$E$4:$E$503,MATCH(461,Players!$L$4:$L$503,0)),"")</f>
        <v/>
      </c>
      <c r="E464" s="1" t="str">
        <f>IFERROR(INDEX(Players!$F$4:$F$503,MATCH(461,Players!$L$4:$L$503,0)),"")</f>
        <v/>
      </c>
      <c r="F464" s="1" t="str">
        <f>IFERROR(INDEX(Players!$I$4:$I$503,MATCH(461,Players!$L$4:$L$503,0)),"")</f>
        <v/>
      </c>
    </row>
    <row r="465" spans="1:6">
      <c r="A465" s="1" t="str">
        <f>IFERROR(INDEX(Players!$B$4:$B$503,MATCH(462,Players!$L$4:$L$503,0)),"")</f>
        <v/>
      </c>
      <c r="B465" s="1" t="str">
        <f>IFERROR(INDEX(Players!$C$4:$C$503,MATCH(462,Players!$L$4:$L$503,0)),"")</f>
        <v/>
      </c>
      <c r="C465" s="1" t="str">
        <f>IFERROR(INDEX(Players!$D$4:$D$503,MATCH(462,Players!$L$4:$L$503,0)),"")</f>
        <v/>
      </c>
      <c r="D465" s="7" t="str">
        <f>IFERROR(INDEX(Players!$E$4:$E$503,MATCH(462,Players!$L$4:$L$503,0)),"")</f>
        <v/>
      </c>
      <c r="E465" s="1" t="str">
        <f>IFERROR(INDEX(Players!$F$4:$F$503,MATCH(462,Players!$L$4:$L$503,0)),"")</f>
        <v/>
      </c>
      <c r="F465" s="1" t="str">
        <f>IFERROR(INDEX(Players!$I$4:$I$503,MATCH(462,Players!$L$4:$L$503,0)),"")</f>
        <v/>
      </c>
    </row>
    <row r="466" spans="1:6">
      <c r="A466" s="1" t="str">
        <f>IFERROR(INDEX(Players!$B$4:$B$503,MATCH(463,Players!$L$4:$L$503,0)),"")</f>
        <v/>
      </c>
      <c r="B466" s="1" t="str">
        <f>IFERROR(INDEX(Players!$C$4:$C$503,MATCH(463,Players!$L$4:$L$503,0)),"")</f>
        <v/>
      </c>
      <c r="C466" s="1" t="str">
        <f>IFERROR(INDEX(Players!$D$4:$D$503,MATCH(463,Players!$L$4:$L$503,0)),"")</f>
        <v/>
      </c>
      <c r="D466" s="7" t="str">
        <f>IFERROR(INDEX(Players!$E$4:$E$503,MATCH(463,Players!$L$4:$L$503,0)),"")</f>
        <v/>
      </c>
      <c r="E466" s="1" t="str">
        <f>IFERROR(INDEX(Players!$F$4:$F$503,MATCH(463,Players!$L$4:$L$503,0)),"")</f>
        <v/>
      </c>
      <c r="F466" s="1" t="str">
        <f>IFERROR(INDEX(Players!$I$4:$I$503,MATCH(463,Players!$L$4:$L$503,0)),"")</f>
        <v/>
      </c>
    </row>
    <row r="467" spans="1:6">
      <c r="A467" s="1" t="str">
        <f>IFERROR(INDEX(Players!$B$4:$B$503,MATCH(464,Players!$L$4:$L$503,0)),"")</f>
        <v/>
      </c>
      <c r="B467" s="1" t="str">
        <f>IFERROR(INDEX(Players!$C$4:$C$503,MATCH(464,Players!$L$4:$L$503,0)),"")</f>
        <v/>
      </c>
      <c r="C467" s="1" t="str">
        <f>IFERROR(INDEX(Players!$D$4:$D$503,MATCH(464,Players!$L$4:$L$503,0)),"")</f>
        <v/>
      </c>
      <c r="D467" s="7" t="str">
        <f>IFERROR(INDEX(Players!$E$4:$E$503,MATCH(464,Players!$L$4:$L$503,0)),"")</f>
        <v/>
      </c>
      <c r="E467" s="1" t="str">
        <f>IFERROR(INDEX(Players!$F$4:$F$503,MATCH(464,Players!$L$4:$L$503,0)),"")</f>
        <v/>
      </c>
      <c r="F467" s="1" t="str">
        <f>IFERROR(INDEX(Players!$I$4:$I$503,MATCH(464,Players!$L$4:$L$503,0)),"")</f>
        <v/>
      </c>
    </row>
    <row r="468" spans="1:6">
      <c r="A468" s="1" t="str">
        <f>IFERROR(INDEX(Players!$B$4:$B$503,MATCH(465,Players!$L$4:$L$503,0)),"")</f>
        <v/>
      </c>
      <c r="B468" s="1" t="str">
        <f>IFERROR(INDEX(Players!$C$4:$C$503,MATCH(465,Players!$L$4:$L$503,0)),"")</f>
        <v/>
      </c>
      <c r="C468" s="1" t="str">
        <f>IFERROR(INDEX(Players!$D$4:$D$503,MATCH(465,Players!$L$4:$L$503,0)),"")</f>
        <v/>
      </c>
      <c r="D468" s="7" t="str">
        <f>IFERROR(INDEX(Players!$E$4:$E$503,MATCH(465,Players!$L$4:$L$503,0)),"")</f>
        <v/>
      </c>
      <c r="E468" s="1" t="str">
        <f>IFERROR(INDEX(Players!$F$4:$F$503,MATCH(465,Players!$L$4:$L$503,0)),"")</f>
        <v/>
      </c>
      <c r="F468" s="1" t="str">
        <f>IFERROR(INDEX(Players!$I$4:$I$503,MATCH(465,Players!$L$4:$L$503,0)),"")</f>
        <v/>
      </c>
    </row>
    <row r="469" spans="1:6">
      <c r="A469" s="1" t="str">
        <f>IFERROR(INDEX(Players!$B$4:$B$503,MATCH(466,Players!$L$4:$L$503,0)),"")</f>
        <v/>
      </c>
      <c r="B469" s="1" t="str">
        <f>IFERROR(INDEX(Players!$C$4:$C$503,MATCH(466,Players!$L$4:$L$503,0)),"")</f>
        <v/>
      </c>
      <c r="C469" s="1" t="str">
        <f>IFERROR(INDEX(Players!$D$4:$D$503,MATCH(466,Players!$L$4:$L$503,0)),"")</f>
        <v/>
      </c>
      <c r="D469" s="7" t="str">
        <f>IFERROR(INDEX(Players!$E$4:$E$503,MATCH(466,Players!$L$4:$L$503,0)),"")</f>
        <v/>
      </c>
      <c r="E469" s="1" t="str">
        <f>IFERROR(INDEX(Players!$F$4:$F$503,MATCH(466,Players!$L$4:$L$503,0)),"")</f>
        <v/>
      </c>
      <c r="F469" s="1" t="str">
        <f>IFERROR(INDEX(Players!$I$4:$I$503,MATCH(466,Players!$L$4:$L$503,0)),"")</f>
        <v/>
      </c>
    </row>
    <row r="470" spans="1:6">
      <c r="A470" s="1" t="str">
        <f>IFERROR(INDEX(Players!$B$4:$B$503,MATCH(467,Players!$L$4:$L$503,0)),"")</f>
        <v/>
      </c>
      <c r="B470" s="1" t="str">
        <f>IFERROR(INDEX(Players!$C$4:$C$503,MATCH(467,Players!$L$4:$L$503,0)),"")</f>
        <v/>
      </c>
      <c r="C470" s="1" t="str">
        <f>IFERROR(INDEX(Players!$D$4:$D$503,MATCH(467,Players!$L$4:$L$503,0)),"")</f>
        <v/>
      </c>
      <c r="D470" s="7" t="str">
        <f>IFERROR(INDEX(Players!$E$4:$E$503,MATCH(467,Players!$L$4:$L$503,0)),"")</f>
        <v/>
      </c>
      <c r="E470" s="1" t="str">
        <f>IFERROR(INDEX(Players!$F$4:$F$503,MATCH(467,Players!$L$4:$L$503,0)),"")</f>
        <v/>
      </c>
      <c r="F470" s="1" t="str">
        <f>IFERROR(INDEX(Players!$I$4:$I$503,MATCH(467,Players!$L$4:$L$503,0)),"")</f>
        <v/>
      </c>
    </row>
    <row r="471" spans="1:6">
      <c r="A471" s="1" t="str">
        <f>IFERROR(INDEX(Players!$B$4:$B$503,MATCH(468,Players!$L$4:$L$503,0)),"")</f>
        <v/>
      </c>
      <c r="B471" s="1" t="str">
        <f>IFERROR(INDEX(Players!$C$4:$C$503,MATCH(468,Players!$L$4:$L$503,0)),"")</f>
        <v/>
      </c>
      <c r="C471" s="1" t="str">
        <f>IFERROR(INDEX(Players!$D$4:$D$503,MATCH(468,Players!$L$4:$L$503,0)),"")</f>
        <v/>
      </c>
      <c r="D471" s="7" t="str">
        <f>IFERROR(INDEX(Players!$E$4:$E$503,MATCH(468,Players!$L$4:$L$503,0)),"")</f>
        <v/>
      </c>
      <c r="E471" s="1" t="str">
        <f>IFERROR(INDEX(Players!$F$4:$F$503,MATCH(468,Players!$L$4:$L$503,0)),"")</f>
        <v/>
      </c>
      <c r="F471" s="1" t="str">
        <f>IFERROR(INDEX(Players!$I$4:$I$503,MATCH(468,Players!$L$4:$L$503,0)),"")</f>
        <v/>
      </c>
    </row>
    <row r="472" spans="1:6">
      <c r="A472" s="1" t="str">
        <f>IFERROR(INDEX(Players!$B$4:$B$503,MATCH(469,Players!$L$4:$L$503,0)),"")</f>
        <v/>
      </c>
      <c r="B472" s="1" t="str">
        <f>IFERROR(INDEX(Players!$C$4:$C$503,MATCH(469,Players!$L$4:$L$503,0)),"")</f>
        <v/>
      </c>
      <c r="C472" s="1" t="str">
        <f>IFERROR(INDEX(Players!$D$4:$D$503,MATCH(469,Players!$L$4:$L$503,0)),"")</f>
        <v/>
      </c>
      <c r="D472" s="7" t="str">
        <f>IFERROR(INDEX(Players!$E$4:$E$503,MATCH(469,Players!$L$4:$L$503,0)),"")</f>
        <v/>
      </c>
      <c r="E472" s="1" t="str">
        <f>IFERROR(INDEX(Players!$F$4:$F$503,MATCH(469,Players!$L$4:$L$503,0)),"")</f>
        <v/>
      </c>
      <c r="F472" s="1" t="str">
        <f>IFERROR(INDEX(Players!$I$4:$I$503,MATCH(469,Players!$L$4:$L$503,0)),"")</f>
        <v/>
      </c>
    </row>
    <row r="473" spans="1:6">
      <c r="A473" s="1" t="str">
        <f>IFERROR(INDEX(Players!$B$4:$B$503,MATCH(470,Players!$L$4:$L$503,0)),"")</f>
        <v/>
      </c>
      <c r="B473" s="1" t="str">
        <f>IFERROR(INDEX(Players!$C$4:$C$503,MATCH(470,Players!$L$4:$L$503,0)),"")</f>
        <v/>
      </c>
      <c r="C473" s="1" t="str">
        <f>IFERROR(INDEX(Players!$D$4:$D$503,MATCH(470,Players!$L$4:$L$503,0)),"")</f>
        <v/>
      </c>
      <c r="D473" s="7" t="str">
        <f>IFERROR(INDEX(Players!$E$4:$E$503,MATCH(470,Players!$L$4:$L$503,0)),"")</f>
        <v/>
      </c>
      <c r="E473" s="1" t="str">
        <f>IFERROR(INDEX(Players!$F$4:$F$503,MATCH(470,Players!$L$4:$L$503,0)),"")</f>
        <v/>
      </c>
      <c r="F473" s="1" t="str">
        <f>IFERROR(INDEX(Players!$I$4:$I$503,MATCH(470,Players!$L$4:$L$503,0)),"")</f>
        <v/>
      </c>
    </row>
    <row r="474" spans="1:6">
      <c r="A474" s="1" t="str">
        <f>IFERROR(INDEX(Players!$B$4:$B$503,MATCH(471,Players!$L$4:$L$503,0)),"")</f>
        <v/>
      </c>
      <c r="B474" s="1" t="str">
        <f>IFERROR(INDEX(Players!$C$4:$C$503,MATCH(471,Players!$L$4:$L$503,0)),"")</f>
        <v/>
      </c>
      <c r="C474" s="1" t="str">
        <f>IFERROR(INDEX(Players!$D$4:$D$503,MATCH(471,Players!$L$4:$L$503,0)),"")</f>
        <v/>
      </c>
      <c r="D474" s="7" t="str">
        <f>IFERROR(INDEX(Players!$E$4:$E$503,MATCH(471,Players!$L$4:$L$503,0)),"")</f>
        <v/>
      </c>
      <c r="E474" s="1" t="str">
        <f>IFERROR(INDEX(Players!$F$4:$F$503,MATCH(471,Players!$L$4:$L$503,0)),"")</f>
        <v/>
      </c>
      <c r="F474" s="1" t="str">
        <f>IFERROR(INDEX(Players!$I$4:$I$503,MATCH(471,Players!$L$4:$L$503,0)),"")</f>
        <v/>
      </c>
    </row>
    <row r="475" spans="1:6">
      <c r="A475" s="1" t="str">
        <f>IFERROR(INDEX(Players!$B$4:$B$503,MATCH(472,Players!$L$4:$L$503,0)),"")</f>
        <v/>
      </c>
      <c r="B475" s="1" t="str">
        <f>IFERROR(INDEX(Players!$C$4:$C$503,MATCH(472,Players!$L$4:$L$503,0)),"")</f>
        <v/>
      </c>
      <c r="C475" s="1" t="str">
        <f>IFERROR(INDEX(Players!$D$4:$D$503,MATCH(472,Players!$L$4:$L$503,0)),"")</f>
        <v/>
      </c>
      <c r="D475" s="7" t="str">
        <f>IFERROR(INDEX(Players!$E$4:$E$503,MATCH(472,Players!$L$4:$L$503,0)),"")</f>
        <v/>
      </c>
      <c r="E475" s="1" t="str">
        <f>IFERROR(INDEX(Players!$F$4:$F$503,MATCH(472,Players!$L$4:$L$503,0)),"")</f>
        <v/>
      </c>
      <c r="F475" s="1" t="str">
        <f>IFERROR(INDEX(Players!$I$4:$I$503,MATCH(472,Players!$L$4:$L$503,0)),"")</f>
        <v/>
      </c>
    </row>
    <row r="476" spans="1:6">
      <c r="A476" s="1" t="str">
        <f>IFERROR(INDEX(Players!$B$4:$B$503,MATCH(473,Players!$L$4:$L$503,0)),"")</f>
        <v/>
      </c>
      <c r="B476" s="1" t="str">
        <f>IFERROR(INDEX(Players!$C$4:$C$503,MATCH(473,Players!$L$4:$L$503,0)),"")</f>
        <v/>
      </c>
      <c r="C476" s="1" t="str">
        <f>IFERROR(INDEX(Players!$D$4:$D$503,MATCH(473,Players!$L$4:$L$503,0)),"")</f>
        <v/>
      </c>
      <c r="D476" s="7" t="str">
        <f>IFERROR(INDEX(Players!$E$4:$E$503,MATCH(473,Players!$L$4:$L$503,0)),"")</f>
        <v/>
      </c>
      <c r="E476" s="1" t="str">
        <f>IFERROR(INDEX(Players!$F$4:$F$503,MATCH(473,Players!$L$4:$L$503,0)),"")</f>
        <v/>
      </c>
      <c r="F476" s="1" t="str">
        <f>IFERROR(INDEX(Players!$I$4:$I$503,MATCH(473,Players!$L$4:$L$503,0)),"")</f>
        <v/>
      </c>
    </row>
    <row r="477" spans="1:6">
      <c r="A477" s="1" t="str">
        <f>IFERROR(INDEX(Players!$B$4:$B$503,MATCH(474,Players!$L$4:$L$503,0)),"")</f>
        <v/>
      </c>
      <c r="B477" s="1" t="str">
        <f>IFERROR(INDEX(Players!$C$4:$C$503,MATCH(474,Players!$L$4:$L$503,0)),"")</f>
        <v/>
      </c>
      <c r="C477" s="1" t="str">
        <f>IFERROR(INDEX(Players!$D$4:$D$503,MATCH(474,Players!$L$4:$L$503,0)),"")</f>
        <v/>
      </c>
      <c r="D477" s="7" t="str">
        <f>IFERROR(INDEX(Players!$E$4:$E$503,MATCH(474,Players!$L$4:$L$503,0)),"")</f>
        <v/>
      </c>
      <c r="E477" s="1" t="str">
        <f>IFERROR(INDEX(Players!$F$4:$F$503,MATCH(474,Players!$L$4:$L$503,0)),"")</f>
        <v/>
      </c>
      <c r="F477" s="1" t="str">
        <f>IFERROR(INDEX(Players!$I$4:$I$503,MATCH(474,Players!$L$4:$L$503,0)),"")</f>
        <v/>
      </c>
    </row>
    <row r="478" spans="1:6">
      <c r="A478" s="1" t="str">
        <f>IFERROR(INDEX(Players!$B$4:$B$503,MATCH(475,Players!$L$4:$L$503,0)),"")</f>
        <v/>
      </c>
      <c r="B478" s="1" t="str">
        <f>IFERROR(INDEX(Players!$C$4:$C$503,MATCH(475,Players!$L$4:$L$503,0)),"")</f>
        <v/>
      </c>
      <c r="C478" s="1" t="str">
        <f>IFERROR(INDEX(Players!$D$4:$D$503,MATCH(475,Players!$L$4:$L$503,0)),"")</f>
        <v/>
      </c>
      <c r="D478" s="7" t="str">
        <f>IFERROR(INDEX(Players!$E$4:$E$503,MATCH(475,Players!$L$4:$L$503,0)),"")</f>
        <v/>
      </c>
      <c r="E478" s="1" t="str">
        <f>IFERROR(INDEX(Players!$F$4:$F$503,MATCH(475,Players!$L$4:$L$503,0)),"")</f>
        <v/>
      </c>
      <c r="F478" s="1" t="str">
        <f>IFERROR(INDEX(Players!$I$4:$I$503,MATCH(475,Players!$L$4:$L$503,0)),"")</f>
        <v/>
      </c>
    </row>
    <row r="479" spans="1:6">
      <c r="A479" s="1" t="str">
        <f>IFERROR(INDEX(Players!$B$4:$B$503,MATCH(476,Players!$L$4:$L$503,0)),"")</f>
        <v/>
      </c>
      <c r="B479" s="1" t="str">
        <f>IFERROR(INDEX(Players!$C$4:$C$503,MATCH(476,Players!$L$4:$L$503,0)),"")</f>
        <v/>
      </c>
      <c r="C479" s="1" t="str">
        <f>IFERROR(INDEX(Players!$D$4:$D$503,MATCH(476,Players!$L$4:$L$503,0)),"")</f>
        <v/>
      </c>
      <c r="D479" s="7" t="str">
        <f>IFERROR(INDEX(Players!$E$4:$E$503,MATCH(476,Players!$L$4:$L$503,0)),"")</f>
        <v/>
      </c>
      <c r="E479" s="1" t="str">
        <f>IFERROR(INDEX(Players!$F$4:$F$503,MATCH(476,Players!$L$4:$L$503,0)),"")</f>
        <v/>
      </c>
      <c r="F479" s="1" t="str">
        <f>IFERROR(INDEX(Players!$I$4:$I$503,MATCH(476,Players!$L$4:$L$503,0)),"")</f>
        <v/>
      </c>
    </row>
    <row r="480" spans="1:6">
      <c r="A480" s="1" t="str">
        <f>IFERROR(INDEX(Players!$B$4:$B$503,MATCH(477,Players!$L$4:$L$503,0)),"")</f>
        <v/>
      </c>
      <c r="B480" s="1" t="str">
        <f>IFERROR(INDEX(Players!$C$4:$C$503,MATCH(477,Players!$L$4:$L$503,0)),"")</f>
        <v/>
      </c>
      <c r="C480" s="1" t="str">
        <f>IFERROR(INDEX(Players!$D$4:$D$503,MATCH(477,Players!$L$4:$L$503,0)),"")</f>
        <v/>
      </c>
      <c r="D480" s="7" t="str">
        <f>IFERROR(INDEX(Players!$E$4:$E$503,MATCH(477,Players!$L$4:$L$503,0)),"")</f>
        <v/>
      </c>
      <c r="E480" s="1" t="str">
        <f>IFERROR(INDEX(Players!$F$4:$F$503,MATCH(477,Players!$L$4:$L$503,0)),"")</f>
        <v/>
      </c>
      <c r="F480" s="1" t="str">
        <f>IFERROR(INDEX(Players!$I$4:$I$503,MATCH(477,Players!$L$4:$L$503,0)),"")</f>
        <v/>
      </c>
    </row>
    <row r="481" spans="1:6">
      <c r="A481" s="1" t="str">
        <f>IFERROR(INDEX(Players!$B$4:$B$503,MATCH(478,Players!$L$4:$L$503,0)),"")</f>
        <v/>
      </c>
      <c r="B481" s="1" t="str">
        <f>IFERROR(INDEX(Players!$C$4:$C$503,MATCH(478,Players!$L$4:$L$503,0)),"")</f>
        <v/>
      </c>
      <c r="C481" s="1" t="str">
        <f>IFERROR(INDEX(Players!$D$4:$D$503,MATCH(478,Players!$L$4:$L$503,0)),"")</f>
        <v/>
      </c>
      <c r="D481" s="7" t="str">
        <f>IFERROR(INDEX(Players!$E$4:$E$503,MATCH(478,Players!$L$4:$L$503,0)),"")</f>
        <v/>
      </c>
      <c r="E481" s="1" t="str">
        <f>IFERROR(INDEX(Players!$F$4:$F$503,MATCH(478,Players!$L$4:$L$503,0)),"")</f>
        <v/>
      </c>
      <c r="F481" s="1" t="str">
        <f>IFERROR(INDEX(Players!$I$4:$I$503,MATCH(478,Players!$L$4:$L$503,0)),"")</f>
        <v/>
      </c>
    </row>
    <row r="482" spans="1:6">
      <c r="A482" s="1" t="str">
        <f>IFERROR(INDEX(Players!$B$4:$B$503,MATCH(479,Players!$L$4:$L$503,0)),"")</f>
        <v/>
      </c>
      <c r="B482" s="1" t="str">
        <f>IFERROR(INDEX(Players!$C$4:$C$503,MATCH(479,Players!$L$4:$L$503,0)),"")</f>
        <v/>
      </c>
      <c r="C482" s="1" t="str">
        <f>IFERROR(INDEX(Players!$D$4:$D$503,MATCH(479,Players!$L$4:$L$503,0)),"")</f>
        <v/>
      </c>
      <c r="D482" s="7" t="str">
        <f>IFERROR(INDEX(Players!$E$4:$E$503,MATCH(479,Players!$L$4:$L$503,0)),"")</f>
        <v/>
      </c>
      <c r="E482" s="1" t="str">
        <f>IFERROR(INDEX(Players!$F$4:$F$503,MATCH(479,Players!$L$4:$L$503,0)),"")</f>
        <v/>
      </c>
      <c r="F482" s="1" t="str">
        <f>IFERROR(INDEX(Players!$I$4:$I$503,MATCH(479,Players!$L$4:$L$503,0)),"")</f>
        <v/>
      </c>
    </row>
    <row r="483" spans="1:6">
      <c r="A483" s="1" t="str">
        <f>IFERROR(INDEX(Players!$B$4:$B$503,MATCH(480,Players!$L$4:$L$503,0)),"")</f>
        <v/>
      </c>
      <c r="B483" s="1" t="str">
        <f>IFERROR(INDEX(Players!$C$4:$C$503,MATCH(480,Players!$L$4:$L$503,0)),"")</f>
        <v/>
      </c>
      <c r="C483" s="1" t="str">
        <f>IFERROR(INDEX(Players!$D$4:$D$503,MATCH(480,Players!$L$4:$L$503,0)),"")</f>
        <v/>
      </c>
      <c r="D483" s="7" t="str">
        <f>IFERROR(INDEX(Players!$E$4:$E$503,MATCH(480,Players!$L$4:$L$503,0)),"")</f>
        <v/>
      </c>
      <c r="E483" s="1" t="str">
        <f>IFERROR(INDEX(Players!$F$4:$F$503,MATCH(480,Players!$L$4:$L$503,0)),"")</f>
        <v/>
      </c>
      <c r="F483" s="1" t="str">
        <f>IFERROR(INDEX(Players!$I$4:$I$503,MATCH(480,Players!$L$4:$L$503,0)),"")</f>
        <v/>
      </c>
    </row>
    <row r="484" spans="1:6">
      <c r="A484" s="1" t="str">
        <f>IFERROR(INDEX(Players!$B$4:$B$503,MATCH(481,Players!$L$4:$L$503,0)),"")</f>
        <v/>
      </c>
      <c r="B484" s="1" t="str">
        <f>IFERROR(INDEX(Players!$C$4:$C$503,MATCH(481,Players!$L$4:$L$503,0)),"")</f>
        <v/>
      </c>
      <c r="C484" s="1" t="str">
        <f>IFERROR(INDEX(Players!$D$4:$D$503,MATCH(481,Players!$L$4:$L$503,0)),"")</f>
        <v/>
      </c>
      <c r="D484" s="7" t="str">
        <f>IFERROR(INDEX(Players!$E$4:$E$503,MATCH(481,Players!$L$4:$L$503,0)),"")</f>
        <v/>
      </c>
      <c r="E484" s="1" t="str">
        <f>IFERROR(INDEX(Players!$F$4:$F$503,MATCH(481,Players!$L$4:$L$503,0)),"")</f>
        <v/>
      </c>
      <c r="F484" s="1" t="str">
        <f>IFERROR(INDEX(Players!$I$4:$I$503,MATCH(481,Players!$L$4:$L$503,0)),"")</f>
        <v/>
      </c>
    </row>
    <row r="485" spans="1:6">
      <c r="A485" s="1" t="str">
        <f>IFERROR(INDEX(Players!$B$4:$B$503,MATCH(482,Players!$L$4:$L$503,0)),"")</f>
        <v/>
      </c>
      <c r="B485" s="1" t="str">
        <f>IFERROR(INDEX(Players!$C$4:$C$503,MATCH(482,Players!$L$4:$L$503,0)),"")</f>
        <v/>
      </c>
      <c r="C485" s="1" t="str">
        <f>IFERROR(INDEX(Players!$D$4:$D$503,MATCH(482,Players!$L$4:$L$503,0)),"")</f>
        <v/>
      </c>
      <c r="D485" s="7" t="str">
        <f>IFERROR(INDEX(Players!$E$4:$E$503,MATCH(482,Players!$L$4:$L$503,0)),"")</f>
        <v/>
      </c>
      <c r="E485" s="1" t="str">
        <f>IFERROR(INDEX(Players!$F$4:$F$503,MATCH(482,Players!$L$4:$L$503,0)),"")</f>
        <v/>
      </c>
      <c r="F485" s="1" t="str">
        <f>IFERROR(INDEX(Players!$I$4:$I$503,MATCH(482,Players!$L$4:$L$503,0)),"")</f>
        <v/>
      </c>
    </row>
    <row r="486" spans="1:6">
      <c r="A486" s="1" t="str">
        <f>IFERROR(INDEX(Players!$B$4:$B$503,MATCH(483,Players!$L$4:$L$503,0)),"")</f>
        <v/>
      </c>
      <c r="B486" s="1" t="str">
        <f>IFERROR(INDEX(Players!$C$4:$C$503,MATCH(483,Players!$L$4:$L$503,0)),"")</f>
        <v/>
      </c>
      <c r="C486" s="1" t="str">
        <f>IFERROR(INDEX(Players!$D$4:$D$503,MATCH(483,Players!$L$4:$L$503,0)),"")</f>
        <v/>
      </c>
      <c r="D486" s="7" t="str">
        <f>IFERROR(INDEX(Players!$E$4:$E$503,MATCH(483,Players!$L$4:$L$503,0)),"")</f>
        <v/>
      </c>
      <c r="E486" s="1" t="str">
        <f>IFERROR(INDEX(Players!$F$4:$F$503,MATCH(483,Players!$L$4:$L$503,0)),"")</f>
        <v/>
      </c>
      <c r="F486" s="1" t="str">
        <f>IFERROR(INDEX(Players!$I$4:$I$503,MATCH(483,Players!$L$4:$L$503,0)),"")</f>
        <v/>
      </c>
    </row>
    <row r="487" spans="1:6">
      <c r="A487" s="1" t="str">
        <f>IFERROR(INDEX(Players!$B$4:$B$503,MATCH(484,Players!$L$4:$L$503,0)),"")</f>
        <v/>
      </c>
      <c r="B487" s="1" t="str">
        <f>IFERROR(INDEX(Players!$C$4:$C$503,MATCH(484,Players!$L$4:$L$503,0)),"")</f>
        <v/>
      </c>
      <c r="C487" s="1" t="str">
        <f>IFERROR(INDEX(Players!$D$4:$D$503,MATCH(484,Players!$L$4:$L$503,0)),"")</f>
        <v/>
      </c>
      <c r="D487" s="7" t="str">
        <f>IFERROR(INDEX(Players!$E$4:$E$503,MATCH(484,Players!$L$4:$L$503,0)),"")</f>
        <v/>
      </c>
      <c r="E487" s="1" t="str">
        <f>IFERROR(INDEX(Players!$F$4:$F$503,MATCH(484,Players!$L$4:$L$503,0)),"")</f>
        <v/>
      </c>
      <c r="F487" s="1" t="str">
        <f>IFERROR(INDEX(Players!$I$4:$I$503,MATCH(484,Players!$L$4:$L$503,0)),"")</f>
        <v/>
      </c>
    </row>
    <row r="488" spans="1:6">
      <c r="A488" s="1" t="str">
        <f>IFERROR(INDEX(Players!$B$4:$B$503,MATCH(485,Players!$L$4:$L$503,0)),"")</f>
        <v/>
      </c>
      <c r="B488" s="1" t="str">
        <f>IFERROR(INDEX(Players!$C$4:$C$503,MATCH(485,Players!$L$4:$L$503,0)),"")</f>
        <v/>
      </c>
      <c r="C488" s="1" t="str">
        <f>IFERROR(INDEX(Players!$D$4:$D$503,MATCH(485,Players!$L$4:$L$503,0)),"")</f>
        <v/>
      </c>
      <c r="D488" s="7" t="str">
        <f>IFERROR(INDEX(Players!$E$4:$E$503,MATCH(485,Players!$L$4:$L$503,0)),"")</f>
        <v/>
      </c>
      <c r="E488" s="1" t="str">
        <f>IFERROR(INDEX(Players!$F$4:$F$503,MATCH(485,Players!$L$4:$L$503,0)),"")</f>
        <v/>
      </c>
      <c r="F488" s="1" t="str">
        <f>IFERROR(INDEX(Players!$I$4:$I$503,MATCH(485,Players!$L$4:$L$503,0)),"")</f>
        <v/>
      </c>
    </row>
    <row r="489" spans="1:6">
      <c r="A489" s="1" t="str">
        <f>IFERROR(INDEX(Players!$B$4:$B$503,MATCH(486,Players!$L$4:$L$503,0)),"")</f>
        <v/>
      </c>
      <c r="B489" s="1" t="str">
        <f>IFERROR(INDEX(Players!$C$4:$C$503,MATCH(486,Players!$L$4:$L$503,0)),"")</f>
        <v/>
      </c>
      <c r="C489" s="1" t="str">
        <f>IFERROR(INDEX(Players!$D$4:$D$503,MATCH(486,Players!$L$4:$L$503,0)),"")</f>
        <v/>
      </c>
      <c r="D489" s="7" t="str">
        <f>IFERROR(INDEX(Players!$E$4:$E$503,MATCH(486,Players!$L$4:$L$503,0)),"")</f>
        <v/>
      </c>
      <c r="E489" s="1" t="str">
        <f>IFERROR(INDEX(Players!$F$4:$F$503,MATCH(486,Players!$L$4:$L$503,0)),"")</f>
        <v/>
      </c>
      <c r="F489" s="1" t="str">
        <f>IFERROR(INDEX(Players!$I$4:$I$503,MATCH(486,Players!$L$4:$L$503,0)),"")</f>
        <v/>
      </c>
    </row>
    <row r="490" spans="1:6">
      <c r="A490" s="1" t="str">
        <f>IFERROR(INDEX(Players!$B$4:$B$503,MATCH(487,Players!$L$4:$L$503,0)),"")</f>
        <v/>
      </c>
      <c r="B490" s="1" t="str">
        <f>IFERROR(INDEX(Players!$C$4:$C$503,MATCH(487,Players!$L$4:$L$503,0)),"")</f>
        <v/>
      </c>
      <c r="C490" s="1" t="str">
        <f>IFERROR(INDEX(Players!$D$4:$D$503,MATCH(487,Players!$L$4:$L$503,0)),"")</f>
        <v/>
      </c>
      <c r="D490" s="7" t="str">
        <f>IFERROR(INDEX(Players!$E$4:$E$503,MATCH(487,Players!$L$4:$L$503,0)),"")</f>
        <v/>
      </c>
      <c r="E490" s="1" t="str">
        <f>IFERROR(INDEX(Players!$F$4:$F$503,MATCH(487,Players!$L$4:$L$503,0)),"")</f>
        <v/>
      </c>
      <c r="F490" s="1" t="str">
        <f>IFERROR(INDEX(Players!$I$4:$I$503,MATCH(487,Players!$L$4:$L$503,0)),"")</f>
        <v/>
      </c>
    </row>
    <row r="491" spans="1:6">
      <c r="A491" s="1" t="str">
        <f>IFERROR(INDEX(Players!$B$4:$B$503,MATCH(488,Players!$L$4:$L$503,0)),"")</f>
        <v/>
      </c>
      <c r="B491" s="1" t="str">
        <f>IFERROR(INDEX(Players!$C$4:$C$503,MATCH(488,Players!$L$4:$L$503,0)),"")</f>
        <v/>
      </c>
      <c r="C491" s="1" t="str">
        <f>IFERROR(INDEX(Players!$D$4:$D$503,MATCH(488,Players!$L$4:$L$503,0)),"")</f>
        <v/>
      </c>
      <c r="D491" s="7" t="str">
        <f>IFERROR(INDEX(Players!$E$4:$E$503,MATCH(488,Players!$L$4:$L$503,0)),"")</f>
        <v/>
      </c>
      <c r="E491" s="1" t="str">
        <f>IFERROR(INDEX(Players!$F$4:$F$503,MATCH(488,Players!$L$4:$L$503,0)),"")</f>
        <v/>
      </c>
      <c r="F491" s="1" t="str">
        <f>IFERROR(INDEX(Players!$I$4:$I$503,MATCH(488,Players!$L$4:$L$503,0)),"")</f>
        <v/>
      </c>
    </row>
    <row r="492" spans="1:6">
      <c r="A492" s="1" t="str">
        <f>IFERROR(INDEX(Players!$B$4:$B$503,MATCH(489,Players!$L$4:$L$503,0)),"")</f>
        <v/>
      </c>
      <c r="B492" s="1" t="str">
        <f>IFERROR(INDEX(Players!$C$4:$C$503,MATCH(489,Players!$L$4:$L$503,0)),"")</f>
        <v/>
      </c>
      <c r="C492" s="1" t="str">
        <f>IFERROR(INDEX(Players!$D$4:$D$503,MATCH(489,Players!$L$4:$L$503,0)),"")</f>
        <v/>
      </c>
      <c r="D492" s="7" t="str">
        <f>IFERROR(INDEX(Players!$E$4:$E$503,MATCH(489,Players!$L$4:$L$503,0)),"")</f>
        <v/>
      </c>
      <c r="E492" s="1" t="str">
        <f>IFERROR(INDEX(Players!$F$4:$F$503,MATCH(489,Players!$L$4:$L$503,0)),"")</f>
        <v/>
      </c>
      <c r="F492" s="1" t="str">
        <f>IFERROR(INDEX(Players!$I$4:$I$503,MATCH(489,Players!$L$4:$L$503,0)),"")</f>
        <v/>
      </c>
    </row>
    <row r="493" spans="1:6">
      <c r="A493" s="1" t="str">
        <f>IFERROR(INDEX(Players!$B$4:$B$503,MATCH(490,Players!$L$4:$L$503,0)),"")</f>
        <v/>
      </c>
      <c r="B493" s="1" t="str">
        <f>IFERROR(INDEX(Players!$C$4:$C$503,MATCH(490,Players!$L$4:$L$503,0)),"")</f>
        <v/>
      </c>
      <c r="C493" s="1" t="str">
        <f>IFERROR(INDEX(Players!$D$4:$D$503,MATCH(490,Players!$L$4:$L$503,0)),"")</f>
        <v/>
      </c>
      <c r="D493" s="7" t="str">
        <f>IFERROR(INDEX(Players!$E$4:$E$503,MATCH(490,Players!$L$4:$L$503,0)),"")</f>
        <v/>
      </c>
      <c r="E493" s="1" t="str">
        <f>IFERROR(INDEX(Players!$F$4:$F$503,MATCH(490,Players!$L$4:$L$503,0)),"")</f>
        <v/>
      </c>
      <c r="F493" s="1" t="str">
        <f>IFERROR(INDEX(Players!$I$4:$I$503,MATCH(490,Players!$L$4:$L$503,0)),"")</f>
        <v/>
      </c>
    </row>
    <row r="494" spans="1:6">
      <c r="A494" s="1" t="str">
        <f>IFERROR(INDEX(Players!$B$4:$B$503,MATCH(491,Players!$L$4:$L$503,0)),"")</f>
        <v/>
      </c>
      <c r="B494" s="1" t="str">
        <f>IFERROR(INDEX(Players!$C$4:$C$503,MATCH(491,Players!$L$4:$L$503,0)),"")</f>
        <v/>
      </c>
      <c r="C494" s="1" t="str">
        <f>IFERROR(INDEX(Players!$D$4:$D$503,MATCH(491,Players!$L$4:$L$503,0)),"")</f>
        <v/>
      </c>
      <c r="D494" s="7" t="str">
        <f>IFERROR(INDEX(Players!$E$4:$E$503,MATCH(491,Players!$L$4:$L$503,0)),"")</f>
        <v/>
      </c>
      <c r="E494" s="1" t="str">
        <f>IFERROR(INDEX(Players!$F$4:$F$503,MATCH(491,Players!$L$4:$L$503,0)),"")</f>
        <v/>
      </c>
      <c r="F494" s="1" t="str">
        <f>IFERROR(INDEX(Players!$I$4:$I$503,MATCH(491,Players!$L$4:$L$503,0)),"")</f>
        <v/>
      </c>
    </row>
    <row r="495" spans="1:6">
      <c r="A495" s="1" t="str">
        <f>IFERROR(INDEX(Players!$B$4:$B$503,MATCH(492,Players!$L$4:$L$503,0)),"")</f>
        <v/>
      </c>
      <c r="B495" s="1" t="str">
        <f>IFERROR(INDEX(Players!$C$4:$C$503,MATCH(492,Players!$L$4:$L$503,0)),"")</f>
        <v/>
      </c>
      <c r="C495" s="1" t="str">
        <f>IFERROR(INDEX(Players!$D$4:$D$503,MATCH(492,Players!$L$4:$L$503,0)),"")</f>
        <v/>
      </c>
      <c r="D495" s="7" t="str">
        <f>IFERROR(INDEX(Players!$E$4:$E$503,MATCH(492,Players!$L$4:$L$503,0)),"")</f>
        <v/>
      </c>
      <c r="E495" s="1" t="str">
        <f>IFERROR(INDEX(Players!$F$4:$F$503,MATCH(492,Players!$L$4:$L$503,0)),"")</f>
        <v/>
      </c>
      <c r="F495" s="1" t="str">
        <f>IFERROR(INDEX(Players!$I$4:$I$503,MATCH(492,Players!$L$4:$L$503,0)),"")</f>
        <v/>
      </c>
    </row>
    <row r="496" spans="1:6">
      <c r="A496" s="1" t="str">
        <f>IFERROR(INDEX(Players!$B$4:$B$503,MATCH(493,Players!$L$4:$L$503,0)),"")</f>
        <v/>
      </c>
      <c r="B496" s="1" t="str">
        <f>IFERROR(INDEX(Players!$C$4:$C$503,MATCH(493,Players!$L$4:$L$503,0)),"")</f>
        <v/>
      </c>
      <c r="C496" s="1" t="str">
        <f>IFERROR(INDEX(Players!$D$4:$D$503,MATCH(493,Players!$L$4:$L$503,0)),"")</f>
        <v/>
      </c>
      <c r="D496" s="7" t="str">
        <f>IFERROR(INDEX(Players!$E$4:$E$503,MATCH(493,Players!$L$4:$L$503,0)),"")</f>
        <v/>
      </c>
      <c r="E496" s="1" t="str">
        <f>IFERROR(INDEX(Players!$F$4:$F$503,MATCH(493,Players!$L$4:$L$503,0)),"")</f>
        <v/>
      </c>
      <c r="F496" s="1" t="str">
        <f>IFERROR(INDEX(Players!$I$4:$I$503,MATCH(493,Players!$L$4:$L$503,0)),"")</f>
        <v/>
      </c>
    </row>
    <row r="497" spans="1:6">
      <c r="A497" s="1" t="str">
        <f>IFERROR(INDEX(Players!$B$4:$B$503,MATCH(494,Players!$L$4:$L$503,0)),"")</f>
        <v/>
      </c>
      <c r="B497" s="1" t="str">
        <f>IFERROR(INDEX(Players!$C$4:$C$503,MATCH(494,Players!$L$4:$L$503,0)),"")</f>
        <v/>
      </c>
      <c r="C497" s="1" t="str">
        <f>IFERROR(INDEX(Players!$D$4:$D$503,MATCH(494,Players!$L$4:$L$503,0)),"")</f>
        <v/>
      </c>
      <c r="D497" s="7" t="str">
        <f>IFERROR(INDEX(Players!$E$4:$E$503,MATCH(494,Players!$L$4:$L$503,0)),"")</f>
        <v/>
      </c>
      <c r="E497" s="1" t="str">
        <f>IFERROR(INDEX(Players!$F$4:$F$503,MATCH(494,Players!$L$4:$L$503,0)),"")</f>
        <v/>
      </c>
      <c r="F497" s="1" t="str">
        <f>IFERROR(INDEX(Players!$I$4:$I$503,MATCH(494,Players!$L$4:$L$503,0)),"")</f>
        <v/>
      </c>
    </row>
    <row r="498" spans="1:6">
      <c r="A498" s="1" t="str">
        <f>IFERROR(INDEX(Players!$B$4:$B$503,MATCH(495,Players!$L$4:$L$503,0)),"")</f>
        <v/>
      </c>
      <c r="B498" s="1" t="str">
        <f>IFERROR(INDEX(Players!$C$4:$C$503,MATCH(495,Players!$L$4:$L$503,0)),"")</f>
        <v/>
      </c>
      <c r="C498" s="1" t="str">
        <f>IFERROR(INDEX(Players!$D$4:$D$503,MATCH(495,Players!$L$4:$L$503,0)),"")</f>
        <v/>
      </c>
      <c r="D498" s="7" t="str">
        <f>IFERROR(INDEX(Players!$E$4:$E$503,MATCH(495,Players!$L$4:$L$503,0)),"")</f>
        <v/>
      </c>
      <c r="E498" s="1" t="str">
        <f>IFERROR(INDEX(Players!$F$4:$F$503,MATCH(495,Players!$L$4:$L$503,0)),"")</f>
        <v/>
      </c>
      <c r="F498" s="1" t="str">
        <f>IFERROR(INDEX(Players!$I$4:$I$503,MATCH(495,Players!$L$4:$L$503,0)),"")</f>
        <v/>
      </c>
    </row>
    <row r="499" spans="1:6">
      <c r="A499" s="1" t="str">
        <f>IFERROR(INDEX(Players!$B$4:$B$503,MATCH(496,Players!$L$4:$L$503,0)),"")</f>
        <v/>
      </c>
      <c r="B499" s="1" t="str">
        <f>IFERROR(INDEX(Players!$C$4:$C$503,MATCH(496,Players!$L$4:$L$503,0)),"")</f>
        <v/>
      </c>
      <c r="C499" s="1" t="str">
        <f>IFERROR(INDEX(Players!$D$4:$D$503,MATCH(496,Players!$L$4:$L$503,0)),"")</f>
        <v/>
      </c>
      <c r="D499" s="7" t="str">
        <f>IFERROR(INDEX(Players!$E$4:$E$503,MATCH(496,Players!$L$4:$L$503,0)),"")</f>
        <v/>
      </c>
      <c r="E499" s="1" t="str">
        <f>IFERROR(INDEX(Players!$F$4:$F$503,MATCH(496,Players!$L$4:$L$503,0)),"")</f>
        <v/>
      </c>
      <c r="F499" s="1" t="str">
        <f>IFERROR(INDEX(Players!$I$4:$I$503,MATCH(496,Players!$L$4:$L$503,0)),"")</f>
        <v/>
      </c>
    </row>
    <row r="500" spans="1:6">
      <c r="A500" s="1" t="str">
        <f>IFERROR(INDEX(Players!$B$4:$B$503,MATCH(497,Players!$L$4:$L$503,0)),"")</f>
        <v/>
      </c>
      <c r="B500" s="1" t="str">
        <f>IFERROR(INDEX(Players!$C$4:$C$503,MATCH(497,Players!$L$4:$L$503,0)),"")</f>
        <v/>
      </c>
      <c r="C500" s="1" t="str">
        <f>IFERROR(INDEX(Players!$D$4:$D$503,MATCH(497,Players!$L$4:$L$503,0)),"")</f>
        <v/>
      </c>
      <c r="D500" s="7" t="str">
        <f>IFERROR(INDEX(Players!$E$4:$E$503,MATCH(497,Players!$L$4:$L$503,0)),"")</f>
        <v/>
      </c>
      <c r="E500" s="1" t="str">
        <f>IFERROR(INDEX(Players!$F$4:$F$503,MATCH(497,Players!$L$4:$L$503,0)),"")</f>
        <v/>
      </c>
      <c r="F500" s="1" t="str">
        <f>IFERROR(INDEX(Players!$I$4:$I$503,MATCH(497,Players!$L$4:$L$503,0)),"")</f>
        <v/>
      </c>
    </row>
    <row r="501" spans="1:6">
      <c r="A501" s="1" t="str">
        <f>IFERROR(INDEX(Players!$B$4:$B$503,MATCH(498,Players!$L$4:$L$503,0)),"")</f>
        <v/>
      </c>
      <c r="B501" s="1" t="str">
        <f>IFERROR(INDEX(Players!$C$4:$C$503,MATCH(498,Players!$L$4:$L$503,0)),"")</f>
        <v/>
      </c>
      <c r="C501" s="1" t="str">
        <f>IFERROR(INDEX(Players!$D$4:$D$503,MATCH(498,Players!$L$4:$L$503,0)),"")</f>
        <v/>
      </c>
      <c r="D501" s="7" t="str">
        <f>IFERROR(INDEX(Players!$E$4:$E$503,MATCH(498,Players!$L$4:$L$503,0)),"")</f>
        <v/>
      </c>
      <c r="E501" s="1" t="str">
        <f>IFERROR(INDEX(Players!$F$4:$F$503,MATCH(498,Players!$L$4:$L$503,0)),"")</f>
        <v/>
      </c>
      <c r="F501" s="1" t="str">
        <f>IFERROR(INDEX(Players!$I$4:$I$503,MATCH(498,Players!$L$4:$L$503,0)),"")</f>
        <v/>
      </c>
    </row>
    <row r="502" spans="1:6">
      <c r="A502" s="1" t="str">
        <f>IFERROR(INDEX(Players!$B$4:$B$503,MATCH(499,Players!$L$4:$L$503,0)),"")</f>
        <v/>
      </c>
      <c r="B502" s="1" t="str">
        <f>IFERROR(INDEX(Players!$C$4:$C$503,MATCH(499,Players!$L$4:$L$503,0)),"")</f>
        <v/>
      </c>
      <c r="C502" s="1" t="str">
        <f>IFERROR(INDEX(Players!$D$4:$D$503,MATCH(499,Players!$L$4:$L$503,0)),"")</f>
        <v/>
      </c>
      <c r="D502" s="7" t="str">
        <f>IFERROR(INDEX(Players!$E$4:$E$503,MATCH(499,Players!$L$4:$L$503,0)),"")</f>
        <v/>
      </c>
      <c r="E502" s="1" t="str">
        <f>IFERROR(INDEX(Players!$F$4:$F$503,MATCH(499,Players!$L$4:$L$503,0)),"")</f>
        <v/>
      </c>
      <c r="F502" s="1" t="str">
        <f>IFERROR(INDEX(Players!$I$4:$I$503,MATCH(499,Players!$L$4:$L$503,0)),"")</f>
        <v/>
      </c>
    </row>
    <row r="503" spans="1:6">
      <c r="A503" s="1" t="str">
        <f>IFERROR(INDEX(Players!$B$4:$B$503,MATCH(500,Players!$L$4:$L$503,0)),"")</f>
        <v/>
      </c>
      <c r="B503" s="1" t="str">
        <f>IFERROR(INDEX(Players!$C$4:$C$503,MATCH(500,Players!$L$4:$L$503,0)),"")</f>
        <v/>
      </c>
      <c r="C503" s="1" t="str">
        <f>IFERROR(INDEX(Players!$D$4:$D$503,MATCH(500,Players!$L$4:$L$503,0)),"")</f>
        <v/>
      </c>
      <c r="D503" s="7" t="str">
        <f>IFERROR(INDEX(Players!$E$4:$E$503,MATCH(500,Players!$L$4:$L$503,0)),"")</f>
        <v/>
      </c>
      <c r="E503" s="1" t="str">
        <f>IFERROR(INDEX(Players!$F$4:$F$503,MATCH(500,Players!$L$4:$L$503,0)),"")</f>
        <v/>
      </c>
      <c r="F503" s="1" t="str">
        <f>IFERROR(INDEX(Players!$I$4:$I$503,MATCH(500,Players!$L$4:$L$503,0)),"")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8"/>
  <sheetViews>
    <sheetView showGridLines="0" workbookViewId="0">
      <selection activeCell="D18" sqref="D18"/>
    </sheetView>
  </sheetViews>
  <sheetFormatPr defaultRowHeight="15"/>
  <cols>
    <col min="1" max="1" width="25" customWidth="1"/>
    <col min="2" max="2" width="20" customWidth="1"/>
    <col min="3" max="5" width="18" customWidth="1"/>
    <col min="6" max="6" width="15" customWidth="1"/>
    <col min="7" max="8" width="20" customWidth="1"/>
  </cols>
  <sheetData>
    <row r="1" spans="1:8" ht="33.950000000000003" customHeight="1">
      <c r="A1" s="15" t="s">
        <v>56</v>
      </c>
      <c r="B1" s="16"/>
      <c r="C1" s="16"/>
      <c r="D1" s="16"/>
      <c r="E1" s="16"/>
      <c r="F1" s="16"/>
      <c r="G1" s="16"/>
      <c r="H1" s="16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3" t="s">
        <v>57</v>
      </c>
      <c r="B3" s="1" t="s">
        <v>22</v>
      </c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 t="s">
        <v>8</v>
      </c>
      <c r="B5" s="7">
        <f>IFERROR(INDEX(Teams!B4:B13,MATCH(B3,Teams!A4:A13,0)),"")</f>
        <v>200000</v>
      </c>
      <c r="C5" s="1"/>
      <c r="D5" s="1" t="s">
        <v>58</v>
      </c>
      <c r="E5" s="7">
        <f>IFERROR(INDEX(Teams!C4:C13,MATCH(B3,Teams!A4:A13,0)),"")</f>
        <v>25000</v>
      </c>
      <c r="F5" s="1"/>
      <c r="G5" s="1" t="s">
        <v>10</v>
      </c>
      <c r="H5" s="7">
        <f>IFERROR(INDEX(Teams!D4:D13,MATCH(B3,Teams!A4:A13,0)),"")</f>
        <v>175000</v>
      </c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6" t="s">
        <v>30</v>
      </c>
      <c r="B8" s="6" t="s">
        <v>31</v>
      </c>
      <c r="C8" s="6" t="s">
        <v>32</v>
      </c>
      <c r="D8" s="6" t="s">
        <v>54</v>
      </c>
      <c r="E8" s="6" t="s">
        <v>55</v>
      </c>
      <c r="F8" s="6" t="s">
        <v>21</v>
      </c>
      <c r="G8" s="1"/>
      <c r="H8" s="1"/>
    </row>
    <row r="9" spans="1:8">
      <c r="A9" s="1" t="str">
        <f>IFERROR(INDEX(Players!$B$4:$B$503,MATCH(1,Players!$M$4:$M$503,0)),"")</f>
        <v>Rahul Sharma</v>
      </c>
      <c r="B9" s="1" t="str">
        <f>IFERROR(INDEX(Players!$C$4:$C$503,MATCH(1,Players!$M$4:$M$503,0)),"")</f>
        <v>All-Rounder</v>
      </c>
      <c r="C9" s="1" t="str">
        <f>IFERROR(INDEX(Players!$D$4:$D$503,MATCH(1,Players!$M$4:$M$503,0)),"")</f>
        <v>A</v>
      </c>
      <c r="D9" s="7">
        <f>IFERROR(INDEX(Players!$E$4:$E$503,MATCH(1,Players!$M$4:$M$503,0)),"")</f>
        <v>5000</v>
      </c>
      <c r="E9" s="7">
        <f>IFERROR(INDEX(Players!$H$4:$H$503,MATCH(1,Players!$M$4:$M$503,0)),"")</f>
        <v>25000</v>
      </c>
      <c r="F9" s="1" t="str">
        <f>IFERROR(INDEX(Players!$F$4:$F$503,MATCH(1,Players!$M$4:$M$503,0)),"")</f>
        <v>SOLD</v>
      </c>
      <c r="G9" s="1"/>
      <c r="H9" s="1"/>
    </row>
    <row r="10" spans="1:8">
      <c r="A10" s="1" t="str">
        <f>IFERROR(INDEX(Players!$B$4:$B$503,MATCH(2,Players!$M$4:$M$503,0)),"")</f>
        <v/>
      </c>
      <c r="B10" s="1" t="str">
        <f>IFERROR(INDEX(Players!$C$4:$C$503,MATCH(2,Players!$M$4:$M$503,0)),"")</f>
        <v/>
      </c>
      <c r="C10" s="1" t="str">
        <f>IFERROR(INDEX(Players!$D$4:$D$503,MATCH(2,Players!$M$4:$M$503,0)),"")</f>
        <v/>
      </c>
      <c r="D10" s="7" t="str">
        <f>IFERROR(INDEX(Players!$E$4:$E$503,MATCH(2,Players!$M$4:$M$503,0)),"")</f>
        <v/>
      </c>
      <c r="E10" s="7" t="str">
        <f>IFERROR(INDEX(Players!$H$4:$H$503,MATCH(2,Players!$M$4:$M$503,0)),"")</f>
        <v/>
      </c>
      <c r="F10" s="1" t="str">
        <f>IFERROR(INDEX(Players!$F$4:$F$503,MATCH(2,Players!$M$4:$M$503,0)),"")</f>
        <v/>
      </c>
      <c r="G10" s="1"/>
      <c r="H10" s="1"/>
    </row>
    <row r="11" spans="1:8">
      <c r="A11" s="1" t="str">
        <f>IFERROR(INDEX(Players!$B$4:$B$503,MATCH(3,Players!$M$4:$M$503,0)),"")</f>
        <v/>
      </c>
      <c r="B11" s="1" t="str">
        <f>IFERROR(INDEX(Players!$C$4:$C$503,MATCH(3,Players!$M$4:$M$503,0)),"")</f>
        <v/>
      </c>
      <c r="C11" s="1" t="str">
        <f>IFERROR(INDEX(Players!$D$4:$D$503,MATCH(3,Players!$M$4:$M$503,0)),"")</f>
        <v/>
      </c>
      <c r="D11" s="7" t="str">
        <f>IFERROR(INDEX(Players!$E$4:$E$503,MATCH(3,Players!$M$4:$M$503,0)),"")</f>
        <v/>
      </c>
      <c r="E11" s="7" t="str">
        <f>IFERROR(INDEX(Players!$H$4:$H$503,MATCH(3,Players!$M$4:$M$503,0)),"")</f>
        <v/>
      </c>
      <c r="F11" s="1" t="str">
        <f>IFERROR(INDEX(Players!$F$4:$F$503,MATCH(3,Players!$M$4:$M$503,0)),"")</f>
        <v/>
      </c>
      <c r="G11" s="1"/>
      <c r="H11" s="1"/>
    </row>
    <row r="12" spans="1:8">
      <c r="A12" s="1" t="str">
        <f>IFERROR(INDEX(Players!$B$4:$B$503,MATCH(4,Players!$M$4:$M$503,0)),"")</f>
        <v/>
      </c>
      <c r="B12" s="1" t="str">
        <f>IFERROR(INDEX(Players!$C$4:$C$503,MATCH(4,Players!$M$4:$M$503,0)),"")</f>
        <v/>
      </c>
      <c r="C12" s="1" t="str">
        <f>IFERROR(INDEX(Players!$D$4:$D$503,MATCH(4,Players!$M$4:$M$503,0)),"")</f>
        <v/>
      </c>
      <c r="D12" s="7" t="str">
        <f>IFERROR(INDEX(Players!$E$4:$E$503,MATCH(4,Players!$M$4:$M$503,0)),"")</f>
        <v/>
      </c>
      <c r="E12" s="7" t="str">
        <f>IFERROR(INDEX(Players!$H$4:$H$503,MATCH(4,Players!$M$4:$M$503,0)),"")</f>
        <v/>
      </c>
      <c r="F12" s="1" t="str">
        <f>IFERROR(INDEX(Players!$F$4:$F$503,MATCH(4,Players!$M$4:$M$503,0)),"")</f>
        <v/>
      </c>
      <c r="G12" s="1"/>
      <c r="H12" s="1"/>
    </row>
    <row r="13" spans="1:8">
      <c r="A13" s="1" t="str">
        <f>IFERROR(INDEX(Players!$B$4:$B$503,MATCH(5,Players!$M$4:$M$503,0)),"")</f>
        <v/>
      </c>
      <c r="B13" s="1" t="str">
        <f>IFERROR(INDEX(Players!$C$4:$C$503,MATCH(5,Players!$M$4:$M$503,0)),"")</f>
        <v/>
      </c>
      <c r="C13" s="1" t="str">
        <f>IFERROR(INDEX(Players!$D$4:$D$503,MATCH(5,Players!$M$4:$M$503,0)),"")</f>
        <v/>
      </c>
      <c r="D13" s="7" t="str">
        <f>IFERROR(INDEX(Players!$E$4:$E$503,MATCH(5,Players!$M$4:$M$503,0)),"")</f>
        <v/>
      </c>
      <c r="E13" s="7" t="str">
        <f>IFERROR(INDEX(Players!$H$4:$H$503,MATCH(5,Players!$M$4:$M$503,0)),"")</f>
        <v/>
      </c>
      <c r="F13" s="1" t="str">
        <f>IFERROR(INDEX(Players!$F$4:$F$503,MATCH(5,Players!$M$4:$M$503,0)),"")</f>
        <v/>
      </c>
      <c r="G13" s="1"/>
      <c r="H13" s="1"/>
    </row>
    <row r="14" spans="1:8">
      <c r="A14" s="1" t="str">
        <f>IFERROR(INDEX(Players!$B$4:$B$503,MATCH(6,Players!$M$4:$M$503,0)),"")</f>
        <v/>
      </c>
      <c r="B14" s="1" t="str">
        <f>IFERROR(INDEX(Players!$C$4:$C$503,MATCH(6,Players!$M$4:$M$503,0)),"")</f>
        <v/>
      </c>
      <c r="C14" s="1" t="str">
        <f>IFERROR(INDEX(Players!$D$4:$D$503,MATCH(6,Players!$M$4:$M$503,0)),"")</f>
        <v/>
      </c>
      <c r="D14" s="7" t="str">
        <f>IFERROR(INDEX(Players!$E$4:$E$503,MATCH(6,Players!$M$4:$M$503,0)),"")</f>
        <v/>
      </c>
      <c r="E14" s="7" t="str">
        <f>IFERROR(INDEX(Players!$H$4:$H$503,MATCH(6,Players!$M$4:$M$503,0)),"")</f>
        <v/>
      </c>
      <c r="F14" s="1" t="str">
        <f>IFERROR(INDEX(Players!$F$4:$F$503,MATCH(6,Players!$M$4:$M$503,0)),"")</f>
        <v/>
      </c>
      <c r="G14" s="1"/>
      <c r="H14" s="1"/>
    </row>
    <row r="15" spans="1:8">
      <c r="A15" s="1" t="str">
        <f>IFERROR(INDEX(Players!$B$4:$B$503,MATCH(7,Players!$M$4:$M$503,0)),"")</f>
        <v/>
      </c>
      <c r="B15" s="1" t="str">
        <f>IFERROR(INDEX(Players!$C$4:$C$503,MATCH(7,Players!$M$4:$M$503,0)),"")</f>
        <v/>
      </c>
      <c r="C15" s="1" t="str">
        <f>IFERROR(INDEX(Players!$D$4:$D$503,MATCH(7,Players!$M$4:$M$503,0)),"")</f>
        <v/>
      </c>
      <c r="D15" s="7" t="str">
        <f>IFERROR(INDEX(Players!$E$4:$E$503,MATCH(7,Players!$M$4:$M$503,0)),"")</f>
        <v/>
      </c>
      <c r="E15" s="7" t="str">
        <f>IFERROR(INDEX(Players!$H$4:$H$503,MATCH(7,Players!$M$4:$M$503,0)),"")</f>
        <v/>
      </c>
      <c r="F15" s="1" t="str">
        <f>IFERROR(INDEX(Players!$F$4:$F$503,MATCH(7,Players!$M$4:$M$503,0)),"")</f>
        <v/>
      </c>
      <c r="G15" s="1"/>
      <c r="H15" s="1"/>
    </row>
    <row r="16" spans="1:8">
      <c r="A16" s="1" t="str">
        <f>IFERROR(INDEX(Players!$B$4:$B$503,MATCH(8,Players!$M$4:$M$503,0)),"")</f>
        <v/>
      </c>
      <c r="B16" s="1" t="str">
        <f>IFERROR(INDEX(Players!$C$4:$C$503,MATCH(8,Players!$M$4:$M$503,0)),"")</f>
        <v/>
      </c>
      <c r="C16" s="1" t="str">
        <f>IFERROR(INDEX(Players!$D$4:$D$503,MATCH(8,Players!$M$4:$M$503,0)),"")</f>
        <v/>
      </c>
      <c r="D16" s="7" t="str">
        <f>IFERROR(INDEX(Players!$E$4:$E$503,MATCH(8,Players!$M$4:$M$503,0)),"")</f>
        <v/>
      </c>
      <c r="E16" s="7" t="str">
        <f>IFERROR(INDEX(Players!$H$4:$H$503,MATCH(8,Players!$M$4:$M$503,0)),"")</f>
        <v/>
      </c>
      <c r="F16" s="1" t="str">
        <f>IFERROR(INDEX(Players!$F$4:$F$503,MATCH(8,Players!$M$4:$M$503,0)),"")</f>
        <v/>
      </c>
      <c r="G16" s="1"/>
      <c r="H16" s="1"/>
    </row>
    <row r="17" spans="1:8">
      <c r="A17" s="1" t="str">
        <f>IFERROR(INDEX(Players!$B$4:$B$503,MATCH(9,Players!$M$4:$M$503,0)),"")</f>
        <v/>
      </c>
      <c r="B17" s="1" t="str">
        <f>IFERROR(INDEX(Players!$C$4:$C$503,MATCH(9,Players!$M$4:$M$503,0)),"")</f>
        <v/>
      </c>
      <c r="C17" s="1" t="str">
        <f>IFERROR(INDEX(Players!$D$4:$D$503,MATCH(9,Players!$M$4:$M$503,0)),"")</f>
        <v/>
      </c>
      <c r="D17" s="7" t="str">
        <f>IFERROR(INDEX(Players!$E$4:$E$503,MATCH(9,Players!$M$4:$M$503,0)),"")</f>
        <v/>
      </c>
      <c r="E17" s="7" t="str">
        <f>IFERROR(INDEX(Players!$H$4:$H$503,MATCH(9,Players!$M$4:$M$503,0)),"")</f>
        <v/>
      </c>
      <c r="F17" s="1" t="str">
        <f>IFERROR(INDEX(Players!$F$4:$F$503,MATCH(9,Players!$M$4:$M$503,0)),"")</f>
        <v/>
      </c>
      <c r="G17" s="1"/>
      <c r="H17" s="1"/>
    </row>
    <row r="18" spans="1:8">
      <c r="A18" s="1" t="str">
        <f>IFERROR(INDEX(Players!$B$4:$B$503,MATCH(10,Players!$M$4:$M$503,0)),"")</f>
        <v/>
      </c>
      <c r="B18" s="1" t="str">
        <f>IFERROR(INDEX(Players!$C$4:$C$503,MATCH(10,Players!$M$4:$M$503,0)),"")</f>
        <v/>
      </c>
      <c r="C18" s="1" t="str">
        <f>IFERROR(INDEX(Players!$D$4:$D$503,MATCH(10,Players!$M$4:$M$503,0)),"")</f>
        <v/>
      </c>
      <c r="D18" s="7" t="str">
        <f>IFERROR(INDEX(Players!$E$4:$E$503,MATCH(10,Players!$M$4:$M$503,0)),"")</f>
        <v/>
      </c>
      <c r="E18" s="7" t="str">
        <f>IFERROR(INDEX(Players!$H$4:$H$503,MATCH(10,Players!$M$4:$M$503,0)),"")</f>
        <v/>
      </c>
      <c r="F18" s="1" t="str">
        <f>IFERROR(INDEX(Players!$F$4:$F$503,MATCH(10,Players!$M$4:$M$503,0)),"")</f>
        <v/>
      </c>
      <c r="G18" s="1"/>
      <c r="H18" s="1"/>
    </row>
    <row r="19" spans="1:8">
      <c r="A19" s="1" t="str">
        <f>IFERROR(INDEX(Players!$B$4:$B$503,MATCH(11,Players!$M$4:$M$503,0)),"")</f>
        <v/>
      </c>
      <c r="B19" s="1" t="str">
        <f>IFERROR(INDEX(Players!$C$4:$C$503,MATCH(11,Players!$M$4:$M$503,0)),"")</f>
        <v/>
      </c>
      <c r="C19" s="1" t="str">
        <f>IFERROR(INDEX(Players!$D$4:$D$503,MATCH(11,Players!$M$4:$M$503,0)),"")</f>
        <v/>
      </c>
      <c r="D19" s="7" t="str">
        <f>IFERROR(INDEX(Players!$E$4:$E$503,MATCH(11,Players!$M$4:$M$503,0)),"")</f>
        <v/>
      </c>
      <c r="E19" s="7" t="str">
        <f>IFERROR(INDEX(Players!$H$4:$H$503,MATCH(11,Players!$M$4:$M$503,0)),"")</f>
        <v/>
      </c>
      <c r="F19" s="1" t="str">
        <f>IFERROR(INDEX(Players!$F$4:$F$503,MATCH(11,Players!$M$4:$M$503,0)),"")</f>
        <v/>
      </c>
      <c r="G19" s="1"/>
      <c r="H19" s="1"/>
    </row>
    <row r="20" spans="1:8">
      <c r="A20" s="1" t="str">
        <f>IFERROR(INDEX(Players!$B$4:$B$503,MATCH(12,Players!$M$4:$M$503,0)),"")</f>
        <v/>
      </c>
      <c r="B20" s="1" t="str">
        <f>IFERROR(INDEX(Players!$C$4:$C$503,MATCH(12,Players!$M$4:$M$503,0)),"")</f>
        <v/>
      </c>
      <c r="C20" s="1" t="str">
        <f>IFERROR(INDEX(Players!$D$4:$D$503,MATCH(12,Players!$M$4:$M$503,0)),"")</f>
        <v/>
      </c>
      <c r="D20" s="7" t="str">
        <f>IFERROR(INDEX(Players!$E$4:$E$503,MATCH(12,Players!$M$4:$M$503,0)),"")</f>
        <v/>
      </c>
      <c r="E20" s="7" t="str">
        <f>IFERROR(INDEX(Players!$H$4:$H$503,MATCH(12,Players!$M$4:$M$503,0)),"")</f>
        <v/>
      </c>
      <c r="F20" s="1" t="str">
        <f>IFERROR(INDEX(Players!$F$4:$F$503,MATCH(12,Players!$M$4:$M$503,0)),"")</f>
        <v/>
      </c>
      <c r="G20" s="1"/>
      <c r="H20" s="1"/>
    </row>
    <row r="21" spans="1:8">
      <c r="A21" s="1" t="str">
        <f>IFERROR(INDEX(Players!$B$4:$B$503,MATCH(13,Players!$M$4:$M$503,0)),"")</f>
        <v/>
      </c>
      <c r="B21" s="1" t="str">
        <f>IFERROR(INDEX(Players!$C$4:$C$503,MATCH(13,Players!$M$4:$M$503,0)),"")</f>
        <v/>
      </c>
      <c r="C21" s="1" t="str">
        <f>IFERROR(INDEX(Players!$D$4:$D$503,MATCH(13,Players!$M$4:$M$503,0)),"")</f>
        <v/>
      </c>
      <c r="D21" s="7" t="str">
        <f>IFERROR(INDEX(Players!$E$4:$E$503,MATCH(13,Players!$M$4:$M$503,0)),"")</f>
        <v/>
      </c>
      <c r="E21" s="7" t="str">
        <f>IFERROR(INDEX(Players!$H$4:$H$503,MATCH(13,Players!$M$4:$M$503,0)),"")</f>
        <v/>
      </c>
      <c r="F21" s="1" t="str">
        <f>IFERROR(INDEX(Players!$F$4:$F$503,MATCH(13,Players!$M$4:$M$503,0)),"")</f>
        <v/>
      </c>
      <c r="G21" s="1"/>
      <c r="H21" s="1"/>
    </row>
    <row r="22" spans="1:8">
      <c r="A22" s="1" t="str">
        <f>IFERROR(INDEX(Players!$B$4:$B$503,MATCH(14,Players!$M$4:$M$503,0)),"")</f>
        <v/>
      </c>
      <c r="B22" s="1" t="str">
        <f>IFERROR(INDEX(Players!$C$4:$C$503,MATCH(14,Players!$M$4:$M$503,0)),"")</f>
        <v/>
      </c>
      <c r="C22" s="1" t="str">
        <f>IFERROR(INDEX(Players!$D$4:$D$503,MATCH(14,Players!$M$4:$M$503,0)),"")</f>
        <v/>
      </c>
      <c r="D22" s="7" t="str">
        <f>IFERROR(INDEX(Players!$E$4:$E$503,MATCH(14,Players!$M$4:$M$503,0)),"")</f>
        <v/>
      </c>
      <c r="E22" s="7" t="str">
        <f>IFERROR(INDEX(Players!$H$4:$H$503,MATCH(14,Players!$M$4:$M$503,0)),"")</f>
        <v/>
      </c>
      <c r="F22" s="1" t="str">
        <f>IFERROR(INDEX(Players!$F$4:$F$503,MATCH(14,Players!$M$4:$M$503,0)),"")</f>
        <v/>
      </c>
      <c r="G22" s="1"/>
      <c r="H22" s="1"/>
    </row>
    <row r="23" spans="1:8">
      <c r="A23" s="1" t="str">
        <f>IFERROR(INDEX(Players!$B$4:$B$503,MATCH(15,Players!$M$4:$M$503,0)),"")</f>
        <v/>
      </c>
      <c r="B23" s="1" t="str">
        <f>IFERROR(INDEX(Players!$C$4:$C$503,MATCH(15,Players!$M$4:$M$503,0)),"")</f>
        <v/>
      </c>
      <c r="C23" s="1" t="str">
        <f>IFERROR(INDEX(Players!$D$4:$D$503,MATCH(15,Players!$M$4:$M$503,0)),"")</f>
        <v/>
      </c>
      <c r="D23" s="7" t="str">
        <f>IFERROR(INDEX(Players!$E$4:$E$503,MATCH(15,Players!$M$4:$M$503,0)),"")</f>
        <v/>
      </c>
      <c r="E23" s="7" t="str">
        <f>IFERROR(INDEX(Players!$H$4:$H$503,MATCH(15,Players!$M$4:$M$503,0)),"")</f>
        <v/>
      </c>
      <c r="F23" s="1" t="str">
        <f>IFERROR(INDEX(Players!$F$4:$F$503,MATCH(15,Players!$M$4:$M$503,0)),"")</f>
        <v/>
      </c>
      <c r="G23" s="1"/>
      <c r="H23" s="1"/>
    </row>
    <row r="24" spans="1:8">
      <c r="A24" s="1" t="str">
        <f>IFERROR(INDEX(Players!$B$4:$B$503,MATCH(16,Players!$M$4:$M$503,0)),"")</f>
        <v/>
      </c>
      <c r="B24" s="1" t="str">
        <f>IFERROR(INDEX(Players!$C$4:$C$503,MATCH(16,Players!$M$4:$M$503,0)),"")</f>
        <v/>
      </c>
      <c r="C24" s="1" t="str">
        <f>IFERROR(INDEX(Players!$D$4:$D$503,MATCH(16,Players!$M$4:$M$503,0)),"")</f>
        <v/>
      </c>
      <c r="D24" s="7" t="str">
        <f>IFERROR(INDEX(Players!$E$4:$E$503,MATCH(16,Players!$M$4:$M$503,0)),"")</f>
        <v/>
      </c>
      <c r="E24" s="7" t="str">
        <f>IFERROR(INDEX(Players!$H$4:$H$503,MATCH(16,Players!$M$4:$M$503,0)),"")</f>
        <v/>
      </c>
      <c r="F24" s="1" t="str">
        <f>IFERROR(INDEX(Players!$F$4:$F$503,MATCH(16,Players!$M$4:$M$503,0)),"")</f>
        <v/>
      </c>
      <c r="G24" s="1"/>
      <c r="H24" s="1"/>
    </row>
    <row r="25" spans="1:8">
      <c r="A25" s="1" t="str">
        <f>IFERROR(INDEX(Players!$B$4:$B$503,MATCH(17,Players!$M$4:$M$503,0)),"")</f>
        <v/>
      </c>
      <c r="B25" s="1" t="str">
        <f>IFERROR(INDEX(Players!$C$4:$C$503,MATCH(17,Players!$M$4:$M$503,0)),"")</f>
        <v/>
      </c>
      <c r="C25" s="1" t="str">
        <f>IFERROR(INDEX(Players!$D$4:$D$503,MATCH(17,Players!$M$4:$M$503,0)),"")</f>
        <v/>
      </c>
      <c r="D25" s="7" t="str">
        <f>IFERROR(INDEX(Players!$E$4:$E$503,MATCH(17,Players!$M$4:$M$503,0)),"")</f>
        <v/>
      </c>
      <c r="E25" s="7" t="str">
        <f>IFERROR(INDEX(Players!$H$4:$H$503,MATCH(17,Players!$M$4:$M$503,0)),"")</f>
        <v/>
      </c>
      <c r="F25" s="1" t="str">
        <f>IFERROR(INDEX(Players!$F$4:$F$503,MATCH(17,Players!$M$4:$M$503,0)),"")</f>
        <v/>
      </c>
      <c r="G25" s="1"/>
      <c r="H25" s="1"/>
    </row>
    <row r="26" spans="1:8">
      <c r="A26" s="1" t="str">
        <f>IFERROR(INDEX(Players!$B$4:$B$503,MATCH(18,Players!$M$4:$M$503,0)),"")</f>
        <v/>
      </c>
      <c r="B26" s="1" t="str">
        <f>IFERROR(INDEX(Players!$C$4:$C$503,MATCH(18,Players!$M$4:$M$503,0)),"")</f>
        <v/>
      </c>
      <c r="C26" s="1" t="str">
        <f>IFERROR(INDEX(Players!$D$4:$D$503,MATCH(18,Players!$M$4:$M$503,0)),"")</f>
        <v/>
      </c>
      <c r="D26" s="7" t="str">
        <f>IFERROR(INDEX(Players!$E$4:$E$503,MATCH(18,Players!$M$4:$M$503,0)),"")</f>
        <v/>
      </c>
      <c r="E26" s="7" t="str">
        <f>IFERROR(INDEX(Players!$H$4:$H$503,MATCH(18,Players!$M$4:$M$503,0)),"")</f>
        <v/>
      </c>
      <c r="F26" s="1" t="str">
        <f>IFERROR(INDEX(Players!$F$4:$F$503,MATCH(18,Players!$M$4:$M$503,0)),"")</f>
        <v/>
      </c>
      <c r="G26" s="1"/>
      <c r="H26" s="1"/>
    </row>
    <row r="27" spans="1:8">
      <c r="A27" s="1" t="str">
        <f>IFERROR(INDEX(Players!$B$4:$B$503,MATCH(19,Players!$M$4:$M$503,0)),"")</f>
        <v/>
      </c>
      <c r="B27" s="1" t="str">
        <f>IFERROR(INDEX(Players!$C$4:$C$503,MATCH(19,Players!$M$4:$M$503,0)),"")</f>
        <v/>
      </c>
      <c r="C27" s="1" t="str">
        <f>IFERROR(INDEX(Players!$D$4:$D$503,MATCH(19,Players!$M$4:$M$503,0)),"")</f>
        <v/>
      </c>
      <c r="D27" s="7" t="str">
        <f>IFERROR(INDEX(Players!$E$4:$E$503,MATCH(19,Players!$M$4:$M$503,0)),"")</f>
        <v/>
      </c>
      <c r="E27" s="7" t="str">
        <f>IFERROR(INDEX(Players!$H$4:$H$503,MATCH(19,Players!$M$4:$M$503,0)),"")</f>
        <v/>
      </c>
      <c r="F27" s="1" t="str">
        <f>IFERROR(INDEX(Players!$F$4:$F$503,MATCH(19,Players!$M$4:$M$503,0)),"")</f>
        <v/>
      </c>
      <c r="G27" s="1"/>
      <c r="H27" s="1"/>
    </row>
    <row r="28" spans="1:8">
      <c r="A28" s="1" t="str">
        <f>IFERROR(INDEX(Players!$B$4:$B$503,MATCH(20,Players!$M$4:$M$503,0)),"")</f>
        <v/>
      </c>
      <c r="B28" s="1" t="str">
        <f>IFERROR(INDEX(Players!$C$4:$C$503,MATCH(20,Players!$M$4:$M$503,0)),"")</f>
        <v/>
      </c>
      <c r="C28" s="1" t="str">
        <f>IFERROR(INDEX(Players!$D$4:$D$503,MATCH(20,Players!$M$4:$M$503,0)),"")</f>
        <v/>
      </c>
      <c r="D28" s="7" t="str">
        <f>IFERROR(INDEX(Players!$E$4:$E$503,MATCH(20,Players!$M$4:$M$503,0)),"")</f>
        <v/>
      </c>
      <c r="E28" s="7" t="str">
        <f>IFERROR(INDEX(Players!$H$4:$H$503,MATCH(20,Players!$M$4:$M$503,0)),"")</f>
        <v/>
      </c>
      <c r="F28" s="1" t="str">
        <f>IFERROR(INDEX(Players!$F$4:$F$503,MATCH(20,Players!$M$4:$M$503,0)),"")</f>
        <v/>
      </c>
      <c r="G28" s="1"/>
      <c r="H28" s="1"/>
    </row>
    <row r="29" spans="1:8">
      <c r="A29" s="1" t="str">
        <f>IFERROR(INDEX(Players!$B$4:$B$503,MATCH(21,Players!$M$4:$M$503,0)),"")</f>
        <v/>
      </c>
      <c r="B29" s="1" t="str">
        <f>IFERROR(INDEX(Players!$C$4:$C$503,MATCH(21,Players!$M$4:$M$503,0)),"")</f>
        <v/>
      </c>
      <c r="C29" s="1" t="str">
        <f>IFERROR(INDEX(Players!$D$4:$D$503,MATCH(21,Players!$M$4:$M$503,0)),"")</f>
        <v/>
      </c>
      <c r="D29" s="7" t="str">
        <f>IFERROR(INDEX(Players!$E$4:$E$503,MATCH(21,Players!$M$4:$M$503,0)),"")</f>
        <v/>
      </c>
      <c r="E29" s="7" t="str">
        <f>IFERROR(INDEX(Players!$H$4:$H$503,MATCH(21,Players!$M$4:$M$503,0)),"")</f>
        <v/>
      </c>
      <c r="F29" s="1" t="str">
        <f>IFERROR(INDEX(Players!$F$4:$F$503,MATCH(21,Players!$M$4:$M$503,0)),"")</f>
        <v/>
      </c>
      <c r="G29" s="1"/>
      <c r="H29" s="1"/>
    </row>
    <row r="30" spans="1:8">
      <c r="A30" s="1" t="str">
        <f>IFERROR(INDEX(Players!$B$4:$B$503,MATCH(22,Players!$M$4:$M$503,0)),"")</f>
        <v/>
      </c>
      <c r="B30" s="1" t="str">
        <f>IFERROR(INDEX(Players!$C$4:$C$503,MATCH(22,Players!$M$4:$M$503,0)),"")</f>
        <v/>
      </c>
      <c r="C30" s="1" t="str">
        <f>IFERROR(INDEX(Players!$D$4:$D$503,MATCH(22,Players!$M$4:$M$503,0)),"")</f>
        <v/>
      </c>
      <c r="D30" s="7" t="str">
        <f>IFERROR(INDEX(Players!$E$4:$E$503,MATCH(22,Players!$M$4:$M$503,0)),"")</f>
        <v/>
      </c>
      <c r="E30" s="7" t="str">
        <f>IFERROR(INDEX(Players!$H$4:$H$503,MATCH(22,Players!$M$4:$M$503,0)),"")</f>
        <v/>
      </c>
      <c r="F30" s="1" t="str">
        <f>IFERROR(INDEX(Players!$F$4:$F$503,MATCH(22,Players!$M$4:$M$503,0)),"")</f>
        <v/>
      </c>
      <c r="G30" s="1"/>
      <c r="H30" s="1"/>
    </row>
    <row r="31" spans="1:8">
      <c r="A31" s="1" t="str">
        <f>IFERROR(INDEX(Players!$B$4:$B$503,MATCH(23,Players!$M$4:$M$503,0)),"")</f>
        <v/>
      </c>
      <c r="B31" s="1" t="str">
        <f>IFERROR(INDEX(Players!$C$4:$C$503,MATCH(23,Players!$M$4:$M$503,0)),"")</f>
        <v/>
      </c>
      <c r="C31" s="1" t="str">
        <f>IFERROR(INDEX(Players!$D$4:$D$503,MATCH(23,Players!$M$4:$M$503,0)),"")</f>
        <v/>
      </c>
      <c r="D31" s="7" t="str">
        <f>IFERROR(INDEX(Players!$E$4:$E$503,MATCH(23,Players!$M$4:$M$503,0)),"")</f>
        <v/>
      </c>
      <c r="E31" s="7" t="str">
        <f>IFERROR(INDEX(Players!$H$4:$H$503,MATCH(23,Players!$M$4:$M$503,0)),"")</f>
        <v/>
      </c>
      <c r="F31" s="1" t="str">
        <f>IFERROR(INDEX(Players!$F$4:$F$503,MATCH(23,Players!$M$4:$M$503,0)),"")</f>
        <v/>
      </c>
      <c r="G31" s="1"/>
      <c r="H31" s="1"/>
    </row>
    <row r="32" spans="1:8">
      <c r="A32" s="1" t="str">
        <f>IFERROR(INDEX(Players!$B$4:$B$503,MATCH(24,Players!$M$4:$M$503,0)),"")</f>
        <v/>
      </c>
      <c r="B32" s="1" t="str">
        <f>IFERROR(INDEX(Players!$C$4:$C$503,MATCH(24,Players!$M$4:$M$503,0)),"")</f>
        <v/>
      </c>
      <c r="C32" s="1" t="str">
        <f>IFERROR(INDEX(Players!$D$4:$D$503,MATCH(24,Players!$M$4:$M$503,0)),"")</f>
        <v/>
      </c>
      <c r="D32" s="7" t="str">
        <f>IFERROR(INDEX(Players!$E$4:$E$503,MATCH(24,Players!$M$4:$M$503,0)),"")</f>
        <v/>
      </c>
      <c r="E32" s="7" t="str">
        <f>IFERROR(INDEX(Players!$H$4:$H$503,MATCH(24,Players!$M$4:$M$503,0)),"")</f>
        <v/>
      </c>
      <c r="F32" s="1" t="str">
        <f>IFERROR(INDEX(Players!$F$4:$F$503,MATCH(24,Players!$M$4:$M$503,0)),"")</f>
        <v/>
      </c>
      <c r="G32" s="1"/>
      <c r="H32" s="1"/>
    </row>
    <row r="33" spans="1:8">
      <c r="A33" s="1" t="str">
        <f>IFERROR(INDEX(Players!$B$4:$B$503,MATCH(25,Players!$M$4:$M$503,0)),"")</f>
        <v/>
      </c>
      <c r="B33" s="1" t="str">
        <f>IFERROR(INDEX(Players!$C$4:$C$503,MATCH(25,Players!$M$4:$M$503,0)),"")</f>
        <v/>
      </c>
      <c r="C33" s="1" t="str">
        <f>IFERROR(INDEX(Players!$D$4:$D$503,MATCH(25,Players!$M$4:$M$503,0)),"")</f>
        <v/>
      </c>
      <c r="D33" s="7" t="str">
        <f>IFERROR(INDEX(Players!$E$4:$E$503,MATCH(25,Players!$M$4:$M$503,0)),"")</f>
        <v/>
      </c>
      <c r="E33" s="7" t="str">
        <f>IFERROR(INDEX(Players!$H$4:$H$503,MATCH(25,Players!$M$4:$M$503,0)),"")</f>
        <v/>
      </c>
      <c r="F33" s="1" t="str">
        <f>IFERROR(INDEX(Players!$F$4:$F$503,MATCH(25,Players!$M$4:$M$503,0)),"")</f>
        <v/>
      </c>
      <c r="G33" s="1"/>
      <c r="H33" s="1"/>
    </row>
    <row r="34" spans="1:8">
      <c r="A34" s="1" t="str">
        <f>IFERROR(INDEX(Players!$B$4:$B$503,MATCH(26,Players!$M$4:$M$503,0)),"")</f>
        <v/>
      </c>
      <c r="B34" s="1" t="str">
        <f>IFERROR(INDEX(Players!$C$4:$C$503,MATCH(26,Players!$M$4:$M$503,0)),"")</f>
        <v/>
      </c>
      <c r="C34" s="1" t="str">
        <f>IFERROR(INDEX(Players!$D$4:$D$503,MATCH(26,Players!$M$4:$M$503,0)),"")</f>
        <v/>
      </c>
      <c r="D34" s="7" t="str">
        <f>IFERROR(INDEX(Players!$E$4:$E$503,MATCH(26,Players!$M$4:$M$503,0)),"")</f>
        <v/>
      </c>
      <c r="E34" s="7" t="str">
        <f>IFERROR(INDEX(Players!$H$4:$H$503,MATCH(26,Players!$M$4:$M$503,0)),"")</f>
        <v/>
      </c>
      <c r="F34" s="1" t="str">
        <f>IFERROR(INDEX(Players!$F$4:$F$503,MATCH(26,Players!$M$4:$M$503,0)),"")</f>
        <v/>
      </c>
      <c r="G34" s="1"/>
      <c r="H34" s="1"/>
    </row>
    <row r="35" spans="1:8">
      <c r="A35" s="1" t="str">
        <f>IFERROR(INDEX(Players!$B$4:$B$503,MATCH(27,Players!$M$4:$M$503,0)),"")</f>
        <v/>
      </c>
      <c r="B35" s="1" t="str">
        <f>IFERROR(INDEX(Players!$C$4:$C$503,MATCH(27,Players!$M$4:$M$503,0)),"")</f>
        <v/>
      </c>
      <c r="C35" s="1" t="str">
        <f>IFERROR(INDEX(Players!$D$4:$D$503,MATCH(27,Players!$M$4:$M$503,0)),"")</f>
        <v/>
      </c>
      <c r="D35" s="7" t="str">
        <f>IFERROR(INDEX(Players!$E$4:$E$503,MATCH(27,Players!$M$4:$M$503,0)),"")</f>
        <v/>
      </c>
      <c r="E35" s="7" t="str">
        <f>IFERROR(INDEX(Players!$H$4:$H$503,MATCH(27,Players!$M$4:$M$503,0)),"")</f>
        <v/>
      </c>
      <c r="F35" s="1" t="str">
        <f>IFERROR(INDEX(Players!$F$4:$F$503,MATCH(27,Players!$M$4:$M$503,0)),"")</f>
        <v/>
      </c>
      <c r="G35" s="1"/>
      <c r="H35" s="1"/>
    </row>
    <row r="36" spans="1:8">
      <c r="A36" s="1" t="str">
        <f>IFERROR(INDEX(Players!$B$4:$B$503,MATCH(28,Players!$M$4:$M$503,0)),"")</f>
        <v/>
      </c>
      <c r="B36" s="1" t="str">
        <f>IFERROR(INDEX(Players!$C$4:$C$503,MATCH(28,Players!$M$4:$M$503,0)),"")</f>
        <v/>
      </c>
      <c r="C36" s="1" t="str">
        <f>IFERROR(INDEX(Players!$D$4:$D$503,MATCH(28,Players!$M$4:$M$503,0)),"")</f>
        <v/>
      </c>
      <c r="D36" s="7" t="str">
        <f>IFERROR(INDEX(Players!$E$4:$E$503,MATCH(28,Players!$M$4:$M$503,0)),"")</f>
        <v/>
      </c>
      <c r="E36" s="7" t="str">
        <f>IFERROR(INDEX(Players!$H$4:$H$503,MATCH(28,Players!$M$4:$M$503,0)),"")</f>
        <v/>
      </c>
      <c r="F36" s="1" t="str">
        <f>IFERROR(INDEX(Players!$F$4:$F$503,MATCH(28,Players!$M$4:$M$503,0)),"")</f>
        <v/>
      </c>
      <c r="G36" s="1"/>
      <c r="H36" s="1"/>
    </row>
    <row r="37" spans="1:8">
      <c r="A37" s="1" t="str">
        <f>IFERROR(INDEX(Players!$B$4:$B$503,MATCH(29,Players!$M$4:$M$503,0)),"")</f>
        <v/>
      </c>
      <c r="B37" s="1" t="str">
        <f>IFERROR(INDEX(Players!$C$4:$C$503,MATCH(29,Players!$M$4:$M$503,0)),"")</f>
        <v/>
      </c>
      <c r="C37" s="1" t="str">
        <f>IFERROR(INDEX(Players!$D$4:$D$503,MATCH(29,Players!$M$4:$M$503,0)),"")</f>
        <v/>
      </c>
      <c r="D37" s="7" t="str">
        <f>IFERROR(INDEX(Players!$E$4:$E$503,MATCH(29,Players!$M$4:$M$503,0)),"")</f>
        <v/>
      </c>
      <c r="E37" s="7" t="str">
        <f>IFERROR(INDEX(Players!$H$4:$H$503,MATCH(29,Players!$M$4:$M$503,0)),"")</f>
        <v/>
      </c>
      <c r="F37" s="1" t="str">
        <f>IFERROR(INDEX(Players!$F$4:$F$503,MATCH(29,Players!$M$4:$M$503,0)),"")</f>
        <v/>
      </c>
      <c r="G37" s="1"/>
      <c r="H37" s="1"/>
    </row>
    <row r="38" spans="1:8">
      <c r="A38" s="1" t="str">
        <f>IFERROR(INDEX(Players!$B$4:$B$503,MATCH(30,Players!$M$4:$M$503,0)),"")</f>
        <v/>
      </c>
      <c r="B38" s="1" t="str">
        <f>IFERROR(INDEX(Players!$C$4:$C$503,MATCH(30,Players!$M$4:$M$503,0)),"")</f>
        <v/>
      </c>
      <c r="C38" s="1" t="str">
        <f>IFERROR(INDEX(Players!$D$4:$D$503,MATCH(30,Players!$M$4:$M$503,0)),"")</f>
        <v/>
      </c>
      <c r="D38" s="7" t="str">
        <f>IFERROR(INDEX(Players!$E$4:$E$503,MATCH(30,Players!$M$4:$M$503,0)),"")</f>
        <v/>
      </c>
      <c r="E38" s="7" t="str">
        <f>IFERROR(INDEX(Players!$H$4:$H$503,MATCH(30,Players!$M$4:$M$503,0)),"")</f>
        <v/>
      </c>
      <c r="F38" s="1" t="str">
        <f>IFERROR(INDEX(Players!$F$4:$F$503,MATCH(30,Players!$M$4:$M$503,0)),"")</f>
        <v/>
      </c>
      <c r="G38" s="1"/>
      <c r="H38" s="1"/>
    </row>
    <row r="39" spans="1:8">
      <c r="A39" s="1" t="str">
        <f>IFERROR(INDEX(Players!$B$4:$B$503,MATCH(31,Players!$M$4:$M$503,0)),"")</f>
        <v/>
      </c>
      <c r="B39" s="1" t="str">
        <f>IFERROR(INDEX(Players!$C$4:$C$503,MATCH(31,Players!$M$4:$M$503,0)),"")</f>
        <v/>
      </c>
      <c r="C39" s="1" t="str">
        <f>IFERROR(INDEX(Players!$D$4:$D$503,MATCH(31,Players!$M$4:$M$503,0)),"")</f>
        <v/>
      </c>
      <c r="D39" s="7" t="str">
        <f>IFERROR(INDEX(Players!$E$4:$E$503,MATCH(31,Players!$M$4:$M$503,0)),"")</f>
        <v/>
      </c>
      <c r="E39" s="7" t="str">
        <f>IFERROR(INDEX(Players!$H$4:$H$503,MATCH(31,Players!$M$4:$M$503,0)),"")</f>
        <v/>
      </c>
      <c r="F39" s="1" t="str">
        <f>IFERROR(INDEX(Players!$F$4:$F$503,MATCH(31,Players!$M$4:$M$503,0)),"")</f>
        <v/>
      </c>
      <c r="G39" s="1"/>
      <c r="H39" s="1"/>
    </row>
    <row r="40" spans="1:8">
      <c r="A40" s="1" t="str">
        <f>IFERROR(INDEX(Players!$B$4:$B$503,MATCH(32,Players!$M$4:$M$503,0)),"")</f>
        <v/>
      </c>
      <c r="B40" s="1" t="str">
        <f>IFERROR(INDEX(Players!$C$4:$C$503,MATCH(32,Players!$M$4:$M$503,0)),"")</f>
        <v/>
      </c>
      <c r="C40" s="1" t="str">
        <f>IFERROR(INDEX(Players!$D$4:$D$503,MATCH(32,Players!$M$4:$M$503,0)),"")</f>
        <v/>
      </c>
      <c r="D40" s="7" t="str">
        <f>IFERROR(INDEX(Players!$E$4:$E$503,MATCH(32,Players!$M$4:$M$503,0)),"")</f>
        <v/>
      </c>
      <c r="E40" s="7" t="str">
        <f>IFERROR(INDEX(Players!$H$4:$H$503,MATCH(32,Players!$M$4:$M$503,0)),"")</f>
        <v/>
      </c>
      <c r="F40" s="1" t="str">
        <f>IFERROR(INDEX(Players!$F$4:$F$503,MATCH(32,Players!$M$4:$M$503,0)),"")</f>
        <v/>
      </c>
      <c r="G40" s="1"/>
      <c r="H40" s="1"/>
    </row>
    <row r="41" spans="1:8">
      <c r="A41" s="1" t="str">
        <f>IFERROR(INDEX(Players!$B$4:$B$503,MATCH(33,Players!$M$4:$M$503,0)),"")</f>
        <v/>
      </c>
      <c r="B41" s="1" t="str">
        <f>IFERROR(INDEX(Players!$C$4:$C$503,MATCH(33,Players!$M$4:$M$503,0)),"")</f>
        <v/>
      </c>
      <c r="C41" s="1" t="str">
        <f>IFERROR(INDEX(Players!$D$4:$D$503,MATCH(33,Players!$M$4:$M$503,0)),"")</f>
        <v/>
      </c>
      <c r="D41" s="7" t="str">
        <f>IFERROR(INDEX(Players!$E$4:$E$503,MATCH(33,Players!$M$4:$M$503,0)),"")</f>
        <v/>
      </c>
      <c r="E41" s="7" t="str">
        <f>IFERROR(INDEX(Players!$H$4:$H$503,MATCH(33,Players!$M$4:$M$503,0)),"")</f>
        <v/>
      </c>
      <c r="F41" s="1" t="str">
        <f>IFERROR(INDEX(Players!$F$4:$F$503,MATCH(33,Players!$M$4:$M$503,0)),"")</f>
        <v/>
      </c>
      <c r="G41" s="1"/>
      <c r="H41" s="1"/>
    </row>
    <row r="42" spans="1:8">
      <c r="A42" s="1" t="str">
        <f>IFERROR(INDEX(Players!$B$4:$B$503,MATCH(34,Players!$M$4:$M$503,0)),"")</f>
        <v/>
      </c>
      <c r="B42" s="1" t="str">
        <f>IFERROR(INDEX(Players!$C$4:$C$503,MATCH(34,Players!$M$4:$M$503,0)),"")</f>
        <v/>
      </c>
      <c r="C42" s="1" t="str">
        <f>IFERROR(INDEX(Players!$D$4:$D$503,MATCH(34,Players!$M$4:$M$503,0)),"")</f>
        <v/>
      </c>
      <c r="D42" s="7" t="str">
        <f>IFERROR(INDEX(Players!$E$4:$E$503,MATCH(34,Players!$M$4:$M$503,0)),"")</f>
        <v/>
      </c>
      <c r="E42" s="7" t="str">
        <f>IFERROR(INDEX(Players!$H$4:$H$503,MATCH(34,Players!$M$4:$M$503,0)),"")</f>
        <v/>
      </c>
      <c r="F42" s="1" t="str">
        <f>IFERROR(INDEX(Players!$F$4:$F$503,MATCH(34,Players!$M$4:$M$503,0)),"")</f>
        <v/>
      </c>
      <c r="G42" s="1"/>
      <c r="H42" s="1"/>
    </row>
    <row r="43" spans="1:8">
      <c r="A43" s="1" t="str">
        <f>IFERROR(INDEX(Players!$B$4:$B$503,MATCH(35,Players!$M$4:$M$503,0)),"")</f>
        <v/>
      </c>
      <c r="B43" s="1" t="str">
        <f>IFERROR(INDEX(Players!$C$4:$C$503,MATCH(35,Players!$M$4:$M$503,0)),"")</f>
        <v/>
      </c>
      <c r="C43" s="1" t="str">
        <f>IFERROR(INDEX(Players!$D$4:$D$503,MATCH(35,Players!$M$4:$M$503,0)),"")</f>
        <v/>
      </c>
      <c r="D43" s="7" t="str">
        <f>IFERROR(INDEX(Players!$E$4:$E$503,MATCH(35,Players!$M$4:$M$503,0)),"")</f>
        <v/>
      </c>
      <c r="E43" s="7" t="str">
        <f>IFERROR(INDEX(Players!$H$4:$H$503,MATCH(35,Players!$M$4:$M$503,0)),"")</f>
        <v/>
      </c>
      <c r="F43" s="1" t="str">
        <f>IFERROR(INDEX(Players!$F$4:$F$503,MATCH(35,Players!$M$4:$M$503,0)),"")</f>
        <v/>
      </c>
      <c r="G43" s="1"/>
      <c r="H43" s="1"/>
    </row>
    <row r="44" spans="1:8">
      <c r="A44" s="1" t="str">
        <f>IFERROR(INDEX(Players!$B$4:$B$503,MATCH(36,Players!$M$4:$M$503,0)),"")</f>
        <v/>
      </c>
      <c r="B44" s="1" t="str">
        <f>IFERROR(INDEX(Players!$C$4:$C$503,MATCH(36,Players!$M$4:$M$503,0)),"")</f>
        <v/>
      </c>
      <c r="C44" s="1" t="str">
        <f>IFERROR(INDEX(Players!$D$4:$D$503,MATCH(36,Players!$M$4:$M$503,0)),"")</f>
        <v/>
      </c>
      <c r="D44" s="7" t="str">
        <f>IFERROR(INDEX(Players!$E$4:$E$503,MATCH(36,Players!$M$4:$M$503,0)),"")</f>
        <v/>
      </c>
      <c r="E44" s="7" t="str">
        <f>IFERROR(INDEX(Players!$H$4:$H$503,MATCH(36,Players!$M$4:$M$503,0)),"")</f>
        <v/>
      </c>
      <c r="F44" s="1" t="str">
        <f>IFERROR(INDEX(Players!$F$4:$F$503,MATCH(36,Players!$M$4:$M$503,0)),"")</f>
        <v/>
      </c>
      <c r="G44" s="1"/>
      <c r="H44" s="1"/>
    </row>
    <row r="45" spans="1:8">
      <c r="A45" s="1" t="str">
        <f>IFERROR(INDEX(Players!$B$4:$B$503,MATCH(37,Players!$M$4:$M$503,0)),"")</f>
        <v/>
      </c>
      <c r="B45" s="1" t="str">
        <f>IFERROR(INDEX(Players!$C$4:$C$503,MATCH(37,Players!$M$4:$M$503,0)),"")</f>
        <v/>
      </c>
      <c r="C45" s="1" t="str">
        <f>IFERROR(INDEX(Players!$D$4:$D$503,MATCH(37,Players!$M$4:$M$503,0)),"")</f>
        <v/>
      </c>
      <c r="D45" s="7" t="str">
        <f>IFERROR(INDEX(Players!$E$4:$E$503,MATCH(37,Players!$M$4:$M$503,0)),"")</f>
        <v/>
      </c>
      <c r="E45" s="7" t="str">
        <f>IFERROR(INDEX(Players!$H$4:$H$503,MATCH(37,Players!$M$4:$M$503,0)),"")</f>
        <v/>
      </c>
      <c r="F45" s="1" t="str">
        <f>IFERROR(INDEX(Players!$F$4:$F$503,MATCH(37,Players!$M$4:$M$503,0)),"")</f>
        <v/>
      </c>
      <c r="G45" s="1"/>
      <c r="H45" s="1"/>
    </row>
    <row r="46" spans="1:8">
      <c r="A46" s="1" t="str">
        <f>IFERROR(INDEX(Players!$B$4:$B$503,MATCH(38,Players!$M$4:$M$503,0)),"")</f>
        <v/>
      </c>
      <c r="B46" s="1" t="str">
        <f>IFERROR(INDEX(Players!$C$4:$C$503,MATCH(38,Players!$M$4:$M$503,0)),"")</f>
        <v/>
      </c>
      <c r="C46" s="1" t="str">
        <f>IFERROR(INDEX(Players!$D$4:$D$503,MATCH(38,Players!$M$4:$M$503,0)),"")</f>
        <v/>
      </c>
      <c r="D46" s="7" t="str">
        <f>IFERROR(INDEX(Players!$E$4:$E$503,MATCH(38,Players!$M$4:$M$503,0)),"")</f>
        <v/>
      </c>
      <c r="E46" s="7" t="str">
        <f>IFERROR(INDEX(Players!$H$4:$H$503,MATCH(38,Players!$M$4:$M$503,0)),"")</f>
        <v/>
      </c>
      <c r="F46" s="1" t="str">
        <f>IFERROR(INDEX(Players!$F$4:$F$503,MATCH(38,Players!$M$4:$M$503,0)),"")</f>
        <v/>
      </c>
      <c r="G46" s="1"/>
      <c r="H46" s="1"/>
    </row>
    <row r="47" spans="1:8">
      <c r="A47" s="1" t="str">
        <f>IFERROR(INDEX(Players!$B$4:$B$503,MATCH(39,Players!$M$4:$M$503,0)),"")</f>
        <v/>
      </c>
      <c r="B47" s="1" t="str">
        <f>IFERROR(INDEX(Players!$C$4:$C$503,MATCH(39,Players!$M$4:$M$503,0)),"")</f>
        <v/>
      </c>
      <c r="C47" s="1" t="str">
        <f>IFERROR(INDEX(Players!$D$4:$D$503,MATCH(39,Players!$M$4:$M$503,0)),"")</f>
        <v/>
      </c>
      <c r="D47" s="7" t="str">
        <f>IFERROR(INDEX(Players!$E$4:$E$503,MATCH(39,Players!$M$4:$M$503,0)),"")</f>
        <v/>
      </c>
      <c r="E47" s="7" t="str">
        <f>IFERROR(INDEX(Players!$H$4:$H$503,MATCH(39,Players!$M$4:$M$503,0)),"")</f>
        <v/>
      </c>
      <c r="F47" s="1" t="str">
        <f>IFERROR(INDEX(Players!$F$4:$F$503,MATCH(39,Players!$M$4:$M$503,0)),"")</f>
        <v/>
      </c>
      <c r="G47" s="1"/>
      <c r="H47" s="1"/>
    </row>
    <row r="48" spans="1:8">
      <c r="A48" s="1" t="str">
        <f>IFERROR(INDEX(Players!$B$4:$B$503,MATCH(40,Players!$M$4:$M$503,0)),"")</f>
        <v/>
      </c>
      <c r="B48" s="1" t="str">
        <f>IFERROR(INDEX(Players!$C$4:$C$503,MATCH(40,Players!$M$4:$M$503,0)),"")</f>
        <v/>
      </c>
      <c r="C48" s="1" t="str">
        <f>IFERROR(INDEX(Players!$D$4:$D$503,MATCH(40,Players!$M$4:$M$503,0)),"")</f>
        <v/>
      </c>
      <c r="D48" s="7" t="str">
        <f>IFERROR(INDEX(Players!$E$4:$E$503,MATCH(40,Players!$M$4:$M$503,0)),"")</f>
        <v/>
      </c>
      <c r="E48" s="7" t="str">
        <f>IFERROR(INDEX(Players!$H$4:$H$503,MATCH(40,Players!$M$4:$M$503,0)),"")</f>
        <v/>
      </c>
      <c r="F48" s="1" t="str">
        <f>IFERROR(INDEX(Players!$F$4:$F$503,MATCH(40,Players!$M$4:$M$503,0)),"")</f>
        <v/>
      </c>
      <c r="G48" s="1"/>
      <c r="H48" s="1"/>
    </row>
    <row r="49" spans="1:8">
      <c r="A49" s="1" t="str">
        <f>IFERROR(INDEX(Players!$B$4:$B$503,MATCH(41,Players!$M$4:$M$503,0)),"")</f>
        <v/>
      </c>
      <c r="B49" s="1" t="str">
        <f>IFERROR(INDEX(Players!$C$4:$C$503,MATCH(41,Players!$M$4:$M$503,0)),"")</f>
        <v/>
      </c>
      <c r="C49" s="1" t="str">
        <f>IFERROR(INDEX(Players!$D$4:$D$503,MATCH(41,Players!$M$4:$M$503,0)),"")</f>
        <v/>
      </c>
      <c r="D49" s="7" t="str">
        <f>IFERROR(INDEX(Players!$E$4:$E$503,MATCH(41,Players!$M$4:$M$503,0)),"")</f>
        <v/>
      </c>
      <c r="E49" s="7" t="str">
        <f>IFERROR(INDEX(Players!$H$4:$H$503,MATCH(41,Players!$M$4:$M$503,0)),"")</f>
        <v/>
      </c>
      <c r="F49" s="1" t="str">
        <f>IFERROR(INDEX(Players!$F$4:$F$503,MATCH(41,Players!$M$4:$M$503,0)),"")</f>
        <v/>
      </c>
      <c r="G49" s="1"/>
      <c r="H49" s="1"/>
    </row>
    <row r="50" spans="1:8">
      <c r="A50" s="1" t="str">
        <f>IFERROR(INDEX(Players!$B$4:$B$503,MATCH(42,Players!$M$4:$M$503,0)),"")</f>
        <v/>
      </c>
      <c r="B50" s="1" t="str">
        <f>IFERROR(INDEX(Players!$C$4:$C$503,MATCH(42,Players!$M$4:$M$503,0)),"")</f>
        <v/>
      </c>
      <c r="C50" s="1" t="str">
        <f>IFERROR(INDEX(Players!$D$4:$D$503,MATCH(42,Players!$M$4:$M$503,0)),"")</f>
        <v/>
      </c>
      <c r="D50" s="7" t="str">
        <f>IFERROR(INDEX(Players!$E$4:$E$503,MATCH(42,Players!$M$4:$M$503,0)),"")</f>
        <v/>
      </c>
      <c r="E50" s="7" t="str">
        <f>IFERROR(INDEX(Players!$H$4:$H$503,MATCH(42,Players!$M$4:$M$503,0)),"")</f>
        <v/>
      </c>
      <c r="F50" s="1" t="str">
        <f>IFERROR(INDEX(Players!$F$4:$F$503,MATCH(42,Players!$M$4:$M$503,0)),"")</f>
        <v/>
      </c>
      <c r="G50" s="1"/>
      <c r="H50" s="1"/>
    </row>
    <row r="51" spans="1:8">
      <c r="A51" s="1" t="str">
        <f>IFERROR(INDEX(Players!$B$4:$B$503,MATCH(43,Players!$M$4:$M$503,0)),"")</f>
        <v/>
      </c>
      <c r="B51" s="1" t="str">
        <f>IFERROR(INDEX(Players!$C$4:$C$503,MATCH(43,Players!$M$4:$M$503,0)),"")</f>
        <v/>
      </c>
      <c r="C51" s="1" t="str">
        <f>IFERROR(INDEX(Players!$D$4:$D$503,MATCH(43,Players!$M$4:$M$503,0)),"")</f>
        <v/>
      </c>
      <c r="D51" s="7" t="str">
        <f>IFERROR(INDEX(Players!$E$4:$E$503,MATCH(43,Players!$M$4:$M$503,0)),"")</f>
        <v/>
      </c>
      <c r="E51" s="7" t="str">
        <f>IFERROR(INDEX(Players!$H$4:$H$503,MATCH(43,Players!$M$4:$M$503,0)),"")</f>
        <v/>
      </c>
      <c r="F51" s="1" t="str">
        <f>IFERROR(INDEX(Players!$F$4:$F$503,MATCH(43,Players!$M$4:$M$503,0)),"")</f>
        <v/>
      </c>
      <c r="G51" s="1"/>
      <c r="H51" s="1"/>
    </row>
    <row r="52" spans="1:8">
      <c r="A52" s="1" t="str">
        <f>IFERROR(INDEX(Players!$B$4:$B$503,MATCH(44,Players!$M$4:$M$503,0)),"")</f>
        <v/>
      </c>
      <c r="B52" s="1" t="str">
        <f>IFERROR(INDEX(Players!$C$4:$C$503,MATCH(44,Players!$M$4:$M$503,0)),"")</f>
        <v/>
      </c>
      <c r="C52" s="1" t="str">
        <f>IFERROR(INDEX(Players!$D$4:$D$503,MATCH(44,Players!$M$4:$M$503,0)),"")</f>
        <v/>
      </c>
      <c r="D52" s="7" t="str">
        <f>IFERROR(INDEX(Players!$E$4:$E$503,MATCH(44,Players!$M$4:$M$503,0)),"")</f>
        <v/>
      </c>
      <c r="E52" s="7" t="str">
        <f>IFERROR(INDEX(Players!$H$4:$H$503,MATCH(44,Players!$M$4:$M$503,0)),"")</f>
        <v/>
      </c>
      <c r="F52" s="1" t="str">
        <f>IFERROR(INDEX(Players!$F$4:$F$503,MATCH(44,Players!$M$4:$M$503,0)),"")</f>
        <v/>
      </c>
      <c r="G52" s="1"/>
      <c r="H52" s="1"/>
    </row>
    <row r="53" spans="1:8">
      <c r="A53" s="1" t="str">
        <f>IFERROR(INDEX(Players!$B$4:$B$503,MATCH(45,Players!$M$4:$M$503,0)),"")</f>
        <v/>
      </c>
      <c r="B53" s="1" t="str">
        <f>IFERROR(INDEX(Players!$C$4:$C$503,MATCH(45,Players!$M$4:$M$503,0)),"")</f>
        <v/>
      </c>
      <c r="C53" s="1" t="str">
        <f>IFERROR(INDEX(Players!$D$4:$D$503,MATCH(45,Players!$M$4:$M$503,0)),"")</f>
        <v/>
      </c>
      <c r="D53" s="7" t="str">
        <f>IFERROR(INDEX(Players!$E$4:$E$503,MATCH(45,Players!$M$4:$M$503,0)),"")</f>
        <v/>
      </c>
      <c r="E53" s="7" t="str">
        <f>IFERROR(INDEX(Players!$H$4:$H$503,MATCH(45,Players!$M$4:$M$503,0)),"")</f>
        <v/>
      </c>
      <c r="F53" s="1" t="str">
        <f>IFERROR(INDEX(Players!$F$4:$F$503,MATCH(45,Players!$M$4:$M$503,0)),"")</f>
        <v/>
      </c>
      <c r="G53" s="1"/>
      <c r="H53" s="1"/>
    </row>
    <row r="54" spans="1:8">
      <c r="A54" s="1" t="str">
        <f>IFERROR(INDEX(Players!$B$4:$B$503,MATCH(46,Players!$M$4:$M$503,0)),"")</f>
        <v/>
      </c>
      <c r="B54" s="1" t="str">
        <f>IFERROR(INDEX(Players!$C$4:$C$503,MATCH(46,Players!$M$4:$M$503,0)),"")</f>
        <v/>
      </c>
      <c r="C54" s="1" t="str">
        <f>IFERROR(INDEX(Players!$D$4:$D$503,MATCH(46,Players!$M$4:$M$503,0)),"")</f>
        <v/>
      </c>
      <c r="D54" s="7" t="str">
        <f>IFERROR(INDEX(Players!$E$4:$E$503,MATCH(46,Players!$M$4:$M$503,0)),"")</f>
        <v/>
      </c>
      <c r="E54" s="7" t="str">
        <f>IFERROR(INDEX(Players!$H$4:$H$503,MATCH(46,Players!$M$4:$M$503,0)),"")</f>
        <v/>
      </c>
      <c r="F54" s="1" t="str">
        <f>IFERROR(INDEX(Players!$F$4:$F$503,MATCH(46,Players!$M$4:$M$503,0)),"")</f>
        <v/>
      </c>
      <c r="G54" s="1"/>
      <c r="H54" s="1"/>
    </row>
    <row r="55" spans="1:8">
      <c r="A55" s="1" t="str">
        <f>IFERROR(INDEX(Players!$B$4:$B$503,MATCH(47,Players!$M$4:$M$503,0)),"")</f>
        <v/>
      </c>
      <c r="B55" s="1" t="str">
        <f>IFERROR(INDEX(Players!$C$4:$C$503,MATCH(47,Players!$M$4:$M$503,0)),"")</f>
        <v/>
      </c>
      <c r="C55" s="1" t="str">
        <f>IFERROR(INDEX(Players!$D$4:$D$503,MATCH(47,Players!$M$4:$M$503,0)),"")</f>
        <v/>
      </c>
      <c r="D55" s="7" t="str">
        <f>IFERROR(INDEX(Players!$E$4:$E$503,MATCH(47,Players!$M$4:$M$503,0)),"")</f>
        <v/>
      </c>
      <c r="E55" s="7" t="str">
        <f>IFERROR(INDEX(Players!$H$4:$H$503,MATCH(47,Players!$M$4:$M$503,0)),"")</f>
        <v/>
      </c>
      <c r="F55" s="1" t="str">
        <f>IFERROR(INDEX(Players!$F$4:$F$503,MATCH(47,Players!$M$4:$M$503,0)),"")</f>
        <v/>
      </c>
      <c r="G55" s="1"/>
      <c r="H55" s="1"/>
    </row>
    <row r="56" spans="1:8">
      <c r="A56" s="1" t="str">
        <f>IFERROR(INDEX(Players!$B$4:$B$503,MATCH(48,Players!$M$4:$M$503,0)),"")</f>
        <v/>
      </c>
      <c r="B56" s="1" t="str">
        <f>IFERROR(INDEX(Players!$C$4:$C$503,MATCH(48,Players!$M$4:$M$503,0)),"")</f>
        <v/>
      </c>
      <c r="C56" s="1" t="str">
        <f>IFERROR(INDEX(Players!$D$4:$D$503,MATCH(48,Players!$M$4:$M$503,0)),"")</f>
        <v/>
      </c>
      <c r="D56" s="7" t="str">
        <f>IFERROR(INDEX(Players!$E$4:$E$503,MATCH(48,Players!$M$4:$M$503,0)),"")</f>
        <v/>
      </c>
      <c r="E56" s="7" t="str">
        <f>IFERROR(INDEX(Players!$H$4:$H$503,MATCH(48,Players!$M$4:$M$503,0)),"")</f>
        <v/>
      </c>
      <c r="F56" s="1" t="str">
        <f>IFERROR(INDEX(Players!$F$4:$F$503,MATCH(48,Players!$M$4:$M$503,0)),"")</f>
        <v/>
      </c>
      <c r="G56" s="1"/>
      <c r="H56" s="1"/>
    </row>
    <row r="57" spans="1:8">
      <c r="A57" s="1" t="str">
        <f>IFERROR(INDEX(Players!$B$4:$B$503,MATCH(49,Players!$M$4:$M$503,0)),"")</f>
        <v/>
      </c>
      <c r="B57" s="1" t="str">
        <f>IFERROR(INDEX(Players!$C$4:$C$503,MATCH(49,Players!$M$4:$M$503,0)),"")</f>
        <v/>
      </c>
      <c r="C57" s="1" t="str">
        <f>IFERROR(INDEX(Players!$D$4:$D$503,MATCH(49,Players!$M$4:$M$503,0)),"")</f>
        <v/>
      </c>
      <c r="D57" s="7" t="str">
        <f>IFERROR(INDEX(Players!$E$4:$E$503,MATCH(49,Players!$M$4:$M$503,0)),"")</f>
        <v/>
      </c>
      <c r="E57" s="7" t="str">
        <f>IFERROR(INDEX(Players!$H$4:$H$503,MATCH(49,Players!$M$4:$M$503,0)),"")</f>
        <v/>
      </c>
      <c r="F57" s="1" t="str">
        <f>IFERROR(INDEX(Players!$F$4:$F$503,MATCH(49,Players!$M$4:$M$503,0)),"")</f>
        <v/>
      </c>
      <c r="G57" s="1"/>
      <c r="H57" s="1"/>
    </row>
    <row r="58" spans="1:8">
      <c r="A58" s="1" t="str">
        <f>IFERROR(INDEX(Players!$B$4:$B$503,MATCH(50,Players!$M$4:$M$503,0)),"")</f>
        <v/>
      </c>
      <c r="B58" s="1" t="str">
        <f>IFERROR(INDEX(Players!$C$4:$C$503,MATCH(50,Players!$M$4:$M$503,0)),"")</f>
        <v/>
      </c>
      <c r="C58" s="1" t="str">
        <f>IFERROR(INDEX(Players!$D$4:$D$503,MATCH(50,Players!$M$4:$M$503,0)),"")</f>
        <v/>
      </c>
      <c r="D58" s="7" t="str">
        <f>IFERROR(INDEX(Players!$E$4:$E$503,MATCH(50,Players!$M$4:$M$503,0)),"")</f>
        <v/>
      </c>
      <c r="E58" s="7" t="str">
        <f>IFERROR(INDEX(Players!$H$4:$H$503,MATCH(50,Players!$M$4:$M$503,0)),"")</f>
        <v/>
      </c>
      <c r="F58" s="1" t="str">
        <f>IFERROR(INDEX(Players!$F$4:$F$503,MATCH(50,Players!$M$4:$M$503,0)),"")</f>
        <v/>
      </c>
      <c r="G58" s="1"/>
      <c r="H58" s="1"/>
    </row>
    <row r="59" spans="1:8">
      <c r="A59" s="1" t="str">
        <f>IFERROR(INDEX(Players!$B$4:$B$503,MATCH(51,Players!$M$4:$M$503,0)),"")</f>
        <v/>
      </c>
      <c r="B59" s="1" t="str">
        <f>IFERROR(INDEX(Players!$C$4:$C$503,MATCH(51,Players!$M$4:$M$503,0)),"")</f>
        <v/>
      </c>
      <c r="C59" s="1" t="str">
        <f>IFERROR(INDEX(Players!$D$4:$D$503,MATCH(51,Players!$M$4:$M$503,0)),"")</f>
        <v/>
      </c>
      <c r="D59" s="7" t="str">
        <f>IFERROR(INDEX(Players!$E$4:$E$503,MATCH(51,Players!$M$4:$M$503,0)),"")</f>
        <v/>
      </c>
      <c r="E59" s="7" t="str">
        <f>IFERROR(INDEX(Players!$H$4:$H$503,MATCH(51,Players!$M$4:$M$503,0)),"")</f>
        <v/>
      </c>
      <c r="F59" s="1" t="str">
        <f>IFERROR(INDEX(Players!$F$4:$F$503,MATCH(51,Players!$M$4:$M$503,0)),"")</f>
        <v/>
      </c>
      <c r="G59" s="1"/>
      <c r="H59" s="1"/>
    </row>
    <row r="60" spans="1:8">
      <c r="A60" s="1" t="str">
        <f>IFERROR(INDEX(Players!$B$4:$B$503,MATCH(52,Players!$M$4:$M$503,0)),"")</f>
        <v/>
      </c>
      <c r="B60" s="1" t="str">
        <f>IFERROR(INDEX(Players!$C$4:$C$503,MATCH(52,Players!$M$4:$M$503,0)),"")</f>
        <v/>
      </c>
      <c r="C60" s="1" t="str">
        <f>IFERROR(INDEX(Players!$D$4:$D$503,MATCH(52,Players!$M$4:$M$503,0)),"")</f>
        <v/>
      </c>
      <c r="D60" s="7" t="str">
        <f>IFERROR(INDEX(Players!$E$4:$E$503,MATCH(52,Players!$M$4:$M$503,0)),"")</f>
        <v/>
      </c>
      <c r="E60" s="7" t="str">
        <f>IFERROR(INDEX(Players!$H$4:$H$503,MATCH(52,Players!$M$4:$M$503,0)),"")</f>
        <v/>
      </c>
      <c r="F60" s="1" t="str">
        <f>IFERROR(INDEX(Players!$F$4:$F$503,MATCH(52,Players!$M$4:$M$503,0)),"")</f>
        <v/>
      </c>
      <c r="G60" s="1"/>
      <c r="H60" s="1"/>
    </row>
    <row r="61" spans="1:8">
      <c r="A61" s="1" t="str">
        <f>IFERROR(INDEX(Players!$B$4:$B$503,MATCH(53,Players!$M$4:$M$503,0)),"")</f>
        <v/>
      </c>
      <c r="B61" s="1" t="str">
        <f>IFERROR(INDEX(Players!$C$4:$C$503,MATCH(53,Players!$M$4:$M$503,0)),"")</f>
        <v/>
      </c>
      <c r="C61" s="1" t="str">
        <f>IFERROR(INDEX(Players!$D$4:$D$503,MATCH(53,Players!$M$4:$M$503,0)),"")</f>
        <v/>
      </c>
      <c r="D61" s="7" t="str">
        <f>IFERROR(INDEX(Players!$E$4:$E$503,MATCH(53,Players!$M$4:$M$503,0)),"")</f>
        <v/>
      </c>
      <c r="E61" s="7" t="str">
        <f>IFERROR(INDEX(Players!$H$4:$H$503,MATCH(53,Players!$M$4:$M$503,0)),"")</f>
        <v/>
      </c>
      <c r="F61" s="1" t="str">
        <f>IFERROR(INDEX(Players!$F$4:$F$503,MATCH(53,Players!$M$4:$M$503,0)),"")</f>
        <v/>
      </c>
      <c r="G61" s="1"/>
      <c r="H61" s="1"/>
    </row>
    <row r="62" spans="1:8">
      <c r="A62" s="1" t="str">
        <f>IFERROR(INDEX(Players!$B$4:$B$503,MATCH(54,Players!$M$4:$M$503,0)),"")</f>
        <v/>
      </c>
      <c r="B62" s="1" t="str">
        <f>IFERROR(INDEX(Players!$C$4:$C$503,MATCH(54,Players!$M$4:$M$503,0)),"")</f>
        <v/>
      </c>
      <c r="C62" s="1" t="str">
        <f>IFERROR(INDEX(Players!$D$4:$D$503,MATCH(54,Players!$M$4:$M$503,0)),"")</f>
        <v/>
      </c>
      <c r="D62" s="7" t="str">
        <f>IFERROR(INDEX(Players!$E$4:$E$503,MATCH(54,Players!$M$4:$M$503,0)),"")</f>
        <v/>
      </c>
      <c r="E62" s="7" t="str">
        <f>IFERROR(INDEX(Players!$H$4:$H$503,MATCH(54,Players!$M$4:$M$503,0)),"")</f>
        <v/>
      </c>
      <c r="F62" s="1" t="str">
        <f>IFERROR(INDEX(Players!$F$4:$F$503,MATCH(54,Players!$M$4:$M$503,0)),"")</f>
        <v/>
      </c>
      <c r="G62" s="1"/>
      <c r="H62" s="1"/>
    </row>
    <row r="63" spans="1:8">
      <c r="A63" s="1" t="str">
        <f>IFERROR(INDEX(Players!$B$4:$B$503,MATCH(55,Players!$M$4:$M$503,0)),"")</f>
        <v/>
      </c>
      <c r="B63" s="1" t="str">
        <f>IFERROR(INDEX(Players!$C$4:$C$503,MATCH(55,Players!$M$4:$M$503,0)),"")</f>
        <v/>
      </c>
      <c r="C63" s="1" t="str">
        <f>IFERROR(INDEX(Players!$D$4:$D$503,MATCH(55,Players!$M$4:$M$503,0)),"")</f>
        <v/>
      </c>
      <c r="D63" s="7" t="str">
        <f>IFERROR(INDEX(Players!$E$4:$E$503,MATCH(55,Players!$M$4:$M$503,0)),"")</f>
        <v/>
      </c>
      <c r="E63" s="7" t="str">
        <f>IFERROR(INDEX(Players!$H$4:$H$503,MATCH(55,Players!$M$4:$M$503,0)),"")</f>
        <v/>
      </c>
      <c r="F63" s="1" t="str">
        <f>IFERROR(INDEX(Players!$F$4:$F$503,MATCH(55,Players!$M$4:$M$503,0)),"")</f>
        <v/>
      </c>
      <c r="G63" s="1"/>
      <c r="H63" s="1"/>
    </row>
    <row r="64" spans="1:8">
      <c r="A64" s="1" t="str">
        <f>IFERROR(INDEX(Players!$B$4:$B$503,MATCH(56,Players!$M$4:$M$503,0)),"")</f>
        <v/>
      </c>
      <c r="B64" s="1" t="str">
        <f>IFERROR(INDEX(Players!$C$4:$C$503,MATCH(56,Players!$M$4:$M$503,0)),"")</f>
        <v/>
      </c>
      <c r="C64" s="1" t="str">
        <f>IFERROR(INDEX(Players!$D$4:$D$503,MATCH(56,Players!$M$4:$M$503,0)),"")</f>
        <v/>
      </c>
      <c r="D64" s="7" t="str">
        <f>IFERROR(INDEX(Players!$E$4:$E$503,MATCH(56,Players!$M$4:$M$503,0)),"")</f>
        <v/>
      </c>
      <c r="E64" s="7" t="str">
        <f>IFERROR(INDEX(Players!$H$4:$H$503,MATCH(56,Players!$M$4:$M$503,0)),"")</f>
        <v/>
      </c>
      <c r="F64" s="1" t="str">
        <f>IFERROR(INDEX(Players!$F$4:$F$503,MATCH(56,Players!$M$4:$M$503,0)),"")</f>
        <v/>
      </c>
      <c r="G64" s="1"/>
      <c r="H64" s="1"/>
    </row>
    <row r="65" spans="1:8">
      <c r="A65" s="1" t="str">
        <f>IFERROR(INDEX(Players!$B$4:$B$503,MATCH(57,Players!$M$4:$M$503,0)),"")</f>
        <v/>
      </c>
      <c r="B65" s="1" t="str">
        <f>IFERROR(INDEX(Players!$C$4:$C$503,MATCH(57,Players!$M$4:$M$503,0)),"")</f>
        <v/>
      </c>
      <c r="C65" s="1" t="str">
        <f>IFERROR(INDEX(Players!$D$4:$D$503,MATCH(57,Players!$M$4:$M$503,0)),"")</f>
        <v/>
      </c>
      <c r="D65" s="7" t="str">
        <f>IFERROR(INDEX(Players!$E$4:$E$503,MATCH(57,Players!$M$4:$M$503,0)),"")</f>
        <v/>
      </c>
      <c r="E65" s="7" t="str">
        <f>IFERROR(INDEX(Players!$H$4:$H$503,MATCH(57,Players!$M$4:$M$503,0)),"")</f>
        <v/>
      </c>
      <c r="F65" s="1" t="str">
        <f>IFERROR(INDEX(Players!$F$4:$F$503,MATCH(57,Players!$M$4:$M$503,0)),"")</f>
        <v/>
      </c>
      <c r="G65" s="1"/>
      <c r="H65" s="1"/>
    </row>
    <row r="66" spans="1:8">
      <c r="A66" s="1" t="str">
        <f>IFERROR(INDEX(Players!$B$4:$B$503,MATCH(58,Players!$M$4:$M$503,0)),"")</f>
        <v/>
      </c>
      <c r="B66" s="1" t="str">
        <f>IFERROR(INDEX(Players!$C$4:$C$503,MATCH(58,Players!$M$4:$M$503,0)),"")</f>
        <v/>
      </c>
      <c r="C66" s="1" t="str">
        <f>IFERROR(INDEX(Players!$D$4:$D$503,MATCH(58,Players!$M$4:$M$503,0)),"")</f>
        <v/>
      </c>
      <c r="D66" s="7" t="str">
        <f>IFERROR(INDEX(Players!$E$4:$E$503,MATCH(58,Players!$M$4:$M$503,0)),"")</f>
        <v/>
      </c>
      <c r="E66" s="7" t="str">
        <f>IFERROR(INDEX(Players!$H$4:$H$503,MATCH(58,Players!$M$4:$M$503,0)),"")</f>
        <v/>
      </c>
      <c r="F66" s="1" t="str">
        <f>IFERROR(INDEX(Players!$F$4:$F$503,MATCH(58,Players!$M$4:$M$503,0)),"")</f>
        <v/>
      </c>
      <c r="G66" s="1"/>
      <c r="H66" s="1"/>
    </row>
    <row r="67" spans="1:8">
      <c r="A67" s="1" t="str">
        <f>IFERROR(INDEX(Players!$B$4:$B$503,MATCH(59,Players!$M$4:$M$503,0)),"")</f>
        <v/>
      </c>
      <c r="B67" s="1" t="str">
        <f>IFERROR(INDEX(Players!$C$4:$C$503,MATCH(59,Players!$M$4:$M$503,0)),"")</f>
        <v/>
      </c>
      <c r="C67" s="1" t="str">
        <f>IFERROR(INDEX(Players!$D$4:$D$503,MATCH(59,Players!$M$4:$M$503,0)),"")</f>
        <v/>
      </c>
      <c r="D67" s="7" t="str">
        <f>IFERROR(INDEX(Players!$E$4:$E$503,MATCH(59,Players!$M$4:$M$503,0)),"")</f>
        <v/>
      </c>
      <c r="E67" s="7" t="str">
        <f>IFERROR(INDEX(Players!$H$4:$H$503,MATCH(59,Players!$M$4:$M$503,0)),"")</f>
        <v/>
      </c>
      <c r="F67" s="1" t="str">
        <f>IFERROR(INDEX(Players!$F$4:$F$503,MATCH(59,Players!$M$4:$M$503,0)),"")</f>
        <v/>
      </c>
      <c r="G67" s="1"/>
      <c r="H67" s="1"/>
    </row>
    <row r="68" spans="1:8">
      <c r="A68" s="1" t="str">
        <f>IFERROR(INDEX(Players!$B$4:$B$503,MATCH(60,Players!$M$4:$M$503,0)),"")</f>
        <v/>
      </c>
      <c r="B68" s="1" t="str">
        <f>IFERROR(INDEX(Players!$C$4:$C$503,MATCH(60,Players!$M$4:$M$503,0)),"")</f>
        <v/>
      </c>
      <c r="C68" s="1" t="str">
        <f>IFERROR(INDEX(Players!$D$4:$D$503,MATCH(60,Players!$M$4:$M$503,0)),"")</f>
        <v/>
      </c>
      <c r="D68" s="7" t="str">
        <f>IFERROR(INDEX(Players!$E$4:$E$503,MATCH(60,Players!$M$4:$M$503,0)),"")</f>
        <v/>
      </c>
      <c r="E68" s="7" t="str">
        <f>IFERROR(INDEX(Players!$H$4:$H$503,MATCH(60,Players!$M$4:$M$503,0)),"")</f>
        <v/>
      </c>
      <c r="F68" s="1" t="str">
        <f>IFERROR(INDEX(Players!$F$4:$F$503,MATCH(60,Players!$M$4:$M$503,0)),"")</f>
        <v/>
      </c>
      <c r="G68" s="1"/>
      <c r="H68" s="1"/>
    </row>
    <row r="69" spans="1:8">
      <c r="A69" s="1" t="str">
        <f>IFERROR(INDEX(Players!$B$4:$B$503,MATCH(61,Players!$M$4:$M$503,0)),"")</f>
        <v/>
      </c>
      <c r="B69" s="1" t="str">
        <f>IFERROR(INDEX(Players!$C$4:$C$503,MATCH(61,Players!$M$4:$M$503,0)),"")</f>
        <v/>
      </c>
      <c r="C69" s="1" t="str">
        <f>IFERROR(INDEX(Players!$D$4:$D$503,MATCH(61,Players!$M$4:$M$503,0)),"")</f>
        <v/>
      </c>
      <c r="D69" s="7" t="str">
        <f>IFERROR(INDEX(Players!$E$4:$E$503,MATCH(61,Players!$M$4:$M$503,0)),"")</f>
        <v/>
      </c>
      <c r="E69" s="7" t="str">
        <f>IFERROR(INDEX(Players!$H$4:$H$503,MATCH(61,Players!$M$4:$M$503,0)),"")</f>
        <v/>
      </c>
      <c r="F69" s="1" t="str">
        <f>IFERROR(INDEX(Players!$F$4:$F$503,MATCH(61,Players!$M$4:$M$503,0)),"")</f>
        <v/>
      </c>
      <c r="G69" s="1"/>
      <c r="H69" s="1"/>
    </row>
    <row r="70" spans="1:8">
      <c r="A70" s="1" t="str">
        <f>IFERROR(INDEX(Players!$B$4:$B$503,MATCH(62,Players!$M$4:$M$503,0)),"")</f>
        <v/>
      </c>
      <c r="B70" s="1" t="str">
        <f>IFERROR(INDEX(Players!$C$4:$C$503,MATCH(62,Players!$M$4:$M$503,0)),"")</f>
        <v/>
      </c>
      <c r="C70" s="1" t="str">
        <f>IFERROR(INDEX(Players!$D$4:$D$503,MATCH(62,Players!$M$4:$M$503,0)),"")</f>
        <v/>
      </c>
      <c r="D70" s="7" t="str">
        <f>IFERROR(INDEX(Players!$E$4:$E$503,MATCH(62,Players!$M$4:$M$503,0)),"")</f>
        <v/>
      </c>
      <c r="E70" s="7" t="str">
        <f>IFERROR(INDEX(Players!$H$4:$H$503,MATCH(62,Players!$M$4:$M$503,0)),"")</f>
        <v/>
      </c>
      <c r="F70" s="1" t="str">
        <f>IFERROR(INDEX(Players!$F$4:$F$503,MATCH(62,Players!$M$4:$M$503,0)),"")</f>
        <v/>
      </c>
      <c r="G70" s="1"/>
      <c r="H70" s="1"/>
    </row>
    <row r="71" spans="1:8">
      <c r="A71" s="1" t="str">
        <f>IFERROR(INDEX(Players!$B$4:$B$503,MATCH(63,Players!$M$4:$M$503,0)),"")</f>
        <v/>
      </c>
      <c r="B71" s="1" t="str">
        <f>IFERROR(INDEX(Players!$C$4:$C$503,MATCH(63,Players!$M$4:$M$503,0)),"")</f>
        <v/>
      </c>
      <c r="C71" s="1" t="str">
        <f>IFERROR(INDEX(Players!$D$4:$D$503,MATCH(63,Players!$M$4:$M$503,0)),"")</f>
        <v/>
      </c>
      <c r="D71" s="7" t="str">
        <f>IFERROR(INDEX(Players!$E$4:$E$503,MATCH(63,Players!$M$4:$M$503,0)),"")</f>
        <v/>
      </c>
      <c r="E71" s="7" t="str">
        <f>IFERROR(INDEX(Players!$H$4:$H$503,MATCH(63,Players!$M$4:$M$503,0)),"")</f>
        <v/>
      </c>
      <c r="F71" s="1" t="str">
        <f>IFERROR(INDEX(Players!$F$4:$F$503,MATCH(63,Players!$M$4:$M$503,0)),"")</f>
        <v/>
      </c>
      <c r="G71" s="1"/>
      <c r="H71" s="1"/>
    </row>
    <row r="72" spans="1:8">
      <c r="A72" s="1" t="str">
        <f>IFERROR(INDEX(Players!$B$4:$B$503,MATCH(64,Players!$M$4:$M$503,0)),"")</f>
        <v/>
      </c>
      <c r="B72" s="1" t="str">
        <f>IFERROR(INDEX(Players!$C$4:$C$503,MATCH(64,Players!$M$4:$M$503,0)),"")</f>
        <v/>
      </c>
      <c r="C72" s="1" t="str">
        <f>IFERROR(INDEX(Players!$D$4:$D$503,MATCH(64,Players!$M$4:$M$503,0)),"")</f>
        <v/>
      </c>
      <c r="D72" s="7" t="str">
        <f>IFERROR(INDEX(Players!$E$4:$E$503,MATCH(64,Players!$M$4:$M$503,0)),"")</f>
        <v/>
      </c>
      <c r="E72" s="7" t="str">
        <f>IFERROR(INDEX(Players!$H$4:$H$503,MATCH(64,Players!$M$4:$M$503,0)),"")</f>
        <v/>
      </c>
      <c r="F72" s="1" t="str">
        <f>IFERROR(INDEX(Players!$F$4:$F$503,MATCH(64,Players!$M$4:$M$503,0)),"")</f>
        <v/>
      </c>
      <c r="G72" s="1"/>
      <c r="H72" s="1"/>
    </row>
    <row r="73" spans="1:8">
      <c r="A73" s="1" t="str">
        <f>IFERROR(INDEX(Players!$B$4:$B$503,MATCH(65,Players!$M$4:$M$503,0)),"")</f>
        <v/>
      </c>
      <c r="B73" s="1" t="str">
        <f>IFERROR(INDEX(Players!$C$4:$C$503,MATCH(65,Players!$M$4:$M$503,0)),"")</f>
        <v/>
      </c>
      <c r="C73" s="1" t="str">
        <f>IFERROR(INDEX(Players!$D$4:$D$503,MATCH(65,Players!$M$4:$M$503,0)),"")</f>
        <v/>
      </c>
      <c r="D73" s="7" t="str">
        <f>IFERROR(INDEX(Players!$E$4:$E$503,MATCH(65,Players!$M$4:$M$503,0)),"")</f>
        <v/>
      </c>
      <c r="E73" s="7" t="str">
        <f>IFERROR(INDEX(Players!$H$4:$H$503,MATCH(65,Players!$M$4:$M$503,0)),"")</f>
        <v/>
      </c>
      <c r="F73" s="1" t="str">
        <f>IFERROR(INDEX(Players!$F$4:$F$503,MATCH(65,Players!$M$4:$M$503,0)),"")</f>
        <v/>
      </c>
      <c r="G73" s="1"/>
      <c r="H73" s="1"/>
    </row>
    <row r="74" spans="1:8">
      <c r="A74" s="1" t="str">
        <f>IFERROR(INDEX(Players!$B$4:$B$503,MATCH(66,Players!$M$4:$M$503,0)),"")</f>
        <v/>
      </c>
      <c r="B74" s="1" t="str">
        <f>IFERROR(INDEX(Players!$C$4:$C$503,MATCH(66,Players!$M$4:$M$503,0)),"")</f>
        <v/>
      </c>
      <c r="C74" s="1" t="str">
        <f>IFERROR(INDEX(Players!$D$4:$D$503,MATCH(66,Players!$M$4:$M$503,0)),"")</f>
        <v/>
      </c>
      <c r="D74" s="7" t="str">
        <f>IFERROR(INDEX(Players!$E$4:$E$503,MATCH(66,Players!$M$4:$M$503,0)),"")</f>
        <v/>
      </c>
      <c r="E74" s="7" t="str">
        <f>IFERROR(INDEX(Players!$H$4:$H$503,MATCH(66,Players!$M$4:$M$503,0)),"")</f>
        <v/>
      </c>
      <c r="F74" s="1" t="str">
        <f>IFERROR(INDEX(Players!$F$4:$F$503,MATCH(66,Players!$M$4:$M$503,0)),"")</f>
        <v/>
      </c>
      <c r="G74" s="1"/>
      <c r="H74" s="1"/>
    </row>
    <row r="75" spans="1:8">
      <c r="A75" s="1" t="str">
        <f>IFERROR(INDEX(Players!$B$4:$B$503,MATCH(67,Players!$M$4:$M$503,0)),"")</f>
        <v/>
      </c>
      <c r="B75" s="1" t="str">
        <f>IFERROR(INDEX(Players!$C$4:$C$503,MATCH(67,Players!$M$4:$M$503,0)),"")</f>
        <v/>
      </c>
      <c r="C75" s="1" t="str">
        <f>IFERROR(INDEX(Players!$D$4:$D$503,MATCH(67,Players!$M$4:$M$503,0)),"")</f>
        <v/>
      </c>
      <c r="D75" s="7" t="str">
        <f>IFERROR(INDEX(Players!$E$4:$E$503,MATCH(67,Players!$M$4:$M$503,0)),"")</f>
        <v/>
      </c>
      <c r="E75" s="7" t="str">
        <f>IFERROR(INDEX(Players!$H$4:$H$503,MATCH(67,Players!$M$4:$M$503,0)),"")</f>
        <v/>
      </c>
      <c r="F75" s="1" t="str">
        <f>IFERROR(INDEX(Players!$F$4:$F$503,MATCH(67,Players!$M$4:$M$503,0)),"")</f>
        <v/>
      </c>
      <c r="G75" s="1"/>
      <c r="H75" s="1"/>
    </row>
    <row r="76" spans="1:8">
      <c r="A76" s="1" t="str">
        <f>IFERROR(INDEX(Players!$B$4:$B$503,MATCH(68,Players!$M$4:$M$503,0)),"")</f>
        <v/>
      </c>
      <c r="B76" s="1" t="str">
        <f>IFERROR(INDEX(Players!$C$4:$C$503,MATCH(68,Players!$M$4:$M$503,0)),"")</f>
        <v/>
      </c>
      <c r="C76" s="1" t="str">
        <f>IFERROR(INDEX(Players!$D$4:$D$503,MATCH(68,Players!$M$4:$M$503,0)),"")</f>
        <v/>
      </c>
      <c r="D76" s="7" t="str">
        <f>IFERROR(INDEX(Players!$E$4:$E$503,MATCH(68,Players!$M$4:$M$503,0)),"")</f>
        <v/>
      </c>
      <c r="E76" s="7" t="str">
        <f>IFERROR(INDEX(Players!$H$4:$H$503,MATCH(68,Players!$M$4:$M$503,0)),"")</f>
        <v/>
      </c>
      <c r="F76" s="1" t="str">
        <f>IFERROR(INDEX(Players!$F$4:$F$503,MATCH(68,Players!$M$4:$M$503,0)),"")</f>
        <v/>
      </c>
      <c r="G76" s="1"/>
      <c r="H76" s="1"/>
    </row>
    <row r="77" spans="1:8">
      <c r="A77" s="1" t="str">
        <f>IFERROR(INDEX(Players!$B$4:$B$503,MATCH(69,Players!$M$4:$M$503,0)),"")</f>
        <v/>
      </c>
      <c r="B77" s="1" t="str">
        <f>IFERROR(INDEX(Players!$C$4:$C$503,MATCH(69,Players!$M$4:$M$503,0)),"")</f>
        <v/>
      </c>
      <c r="C77" s="1" t="str">
        <f>IFERROR(INDEX(Players!$D$4:$D$503,MATCH(69,Players!$M$4:$M$503,0)),"")</f>
        <v/>
      </c>
      <c r="D77" s="7" t="str">
        <f>IFERROR(INDEX(Players!$E$4:$E$503,MATCH(69,Players!$M$4:$M$503,0)),"")</f>
        <v/>
      </c>
      <c r="E77" s="7" t="str">
        <f>IFERROR(INDEX(Players!$H$4:$H$503,MATCH(69,Players!$M$4:$M$503,0)),"")</f>
        <v/>
      </c>
      <c r="F77" s="1" t="str">
        <f>IFERROR(INDEX(Players!$F$4:$F$503,MATCH(69,Players!$M$4:$M$503,0)),"")</f>
        <v/>
      </c>
      <c r="G77" s="1"/>
      <c r="H77" s="1"/>
    </row>
    <row r="78" spans="1:8">
      <c r="A78" s="1" t="str">
        <f>IFERROR(INDEX(Players!$B$4:$B$503,MATCH(70,Players!$M$4:$M$503,0)),"")</f>
        <v/>
      </c>
      <c r="B78" s="1" t="str">
        <f>IFERROR(INDEX(Players!$C$4:$C$503,MATCH(70,Players!$M$4:$M$503,0)),"")</f>
        <v/>
      </c>
      <c r="C78" s="1" t="str">
        <f>IFERROR(INDEX(Players!$D$4:$D$503,MATCH(70,Players!$M$4:$M$503,0)),"")</f>
        <v/>
      </c>
      <c r="D78" s="7" t="str">
        <f>IFERROR(INDEX(Players!$E$4:$E$503,MATCH(70,Players!$M$4:$M$503,0)),"")</f>
        <v/>
      </c>
      <c r="E78" s="7" t="str">
        <f>IFERROR(INDEX(Players!$H$4:$H$503,MATCH(70,Players!$M$4:$M$503,0)),"")</f>
        <v/>
      </c>
      <c r="F78" s="1" t="str">
        <f>IFERROR(INDEX(Players!$F$4:$F$503,MATCH(70,Players!$M$4:$M$503,0)),"")</f>
        <v/>
      </c>
      <c r="G78" s="1"/>
      <c r="H78" s="1"/>
    </row>
    <row r="79" spans="1:8">
      <c r="A79" s="1" t="str">
        <f>IFERROR(INDEX(Players!$B$4:$B$503,MATCH(71,Players!$M$4:$M$503,0)),"")</f>
        <v/>
      </c>
      <c r="B79" s="1" t="str">
        <f>IFERROR(INDEX(Players!$C$4:$C$503,MATCH(71,Players!$M$4:$M$503,0)),"")</f>
        <v/>
      </c>
      <c r="C79" s="1" t="str">
        <f>IFERROR(INDEX(Players!$D$4:$D$503,MATCH(71,Players!$M$4:$M$503,0)),"")</f>
        <v/>
      </c>
      <c r="D79" s="7" t="str">
        <f>IFERROR(INDEX(Players!$E$4:$E$503,MATCH(71,Players!$M$4:$M$503,0)),"")</f>
        <v/>
      </c>
      <c r="E79" s="7" t="str">
        <f>IFERROR(INDEX(Players!$H$4:$H$503,MATCH(71,Players!$M$4:$M$503,0)),"")</f>
        <v/>
      </c>
      <c r="F79" s="1" t="str">
        <f>IFERROR(INDEX(Players!$F$4:$F$503,MATCH(71,Players!$M$4:$M$503,0)),"")</f>
        <v/>
      </c>
      <c r="G79" s="1"/>
      <c r="H79" s="1"/>
    </row>
    <row r="80" spans="1:8">
      <c r="A80" s="1" t="str">
        <f>IFERROR(INDEX(Players!$B$4:$B$503,MATCH(72,Players!$M$4:$M$503,0)),"")</f>
        <v/>
      </c>
      <c r="B80" s="1" t="str">
        <f>IFERROR(INDEX(Players!$C$4:$C$503,MATCH(72,Players!$M$4:$M$503,0)),"")</f>
        <v/>
      </c>
      <c r="C80" s="1" t="str">
        <f>IFERROR(INDEX(Players!$D$4:$D$503,MATCH(72,Players!$M$4:$M$503,0)),"")</f>
        <v/>
      </c>
      <c r="D80" s="7" t="str">
        <f>IFERROR(INDEX(Players!$E$4:$E$503,MATCH(72,Players!$M$4:$M$503,0)),"")</f>
        <v/>
      </c>
      <c r="E80" s="7" t="str">
        <f>IFERROR(INDEX(Players!$H$4:$H$503,MATCH(72,Players!$M$4:$M$503,0)),"")</f>
        <v/>
      </c>
      <c r="F80" s="1" t="str">
        <f>IFERROR(INDEX(Players!$F$4:$F$503,MATCH(72,Players!$M$4:$M$503,0)),"")</f>
        <v/>
      </c>
      <c r="G80" s="1"/>
      <c r="H80" s="1"/>
    </row>
    <row r="81" spans="1:8">
      <c r="A81" s="1" t="str">
        <f>IFERROR(INDEX(Players!$B$4:$B$503,MATCH(73,Players!$M$4:$M$503,0)),"")</f>
        <v/>
      </c>
      <c r="B81" s="1" t="str">
        <f>IFERROR(INDEX(Players!$C$4:$C$503,MATCH(73,Players!$M$4:$M$503,0)),"")</f>
        <v/>
      </c>
      <c r="C81" s="1" t="str">
        <f>IFERROR(INDEX(Players!$D$4:$D$503,MATCH(73,Players!$M$4:$M$503,0)),"")</f>
        <v/>
      </c>
      <c r="D81" s="7" t="str">
        <f>IFERROR(INDEX(Players!$E$4:$E$503,MATCH(73,Players!$M$4:$M$503,0)),"")</f>
        <v/>
      </c>
      <c r="E81" s="7" t="str">
        <f>IFERROR(INDEX(Players!$H$4:$H$503,MATCH(73,Players!$M$4:$M$503,0)),"")</f>
        <v/>
      </c>
      <c r="F81" s="1" t="str">
        <f>IFERROR(INDEX(Players!$F$4:$F$503,MATCH(73,Players!$M$4:$M$503,0)),"")</f>
        <v/>
      </c>
      <c r="G81" s="1"/>
      <c r="H81" s="1"/>
    </row>
    <row r="82" spans="1:8">
      <c r="A82" s="1" t="str">
        <f>IFERROR(INDEX(Players!$B$4:$B$503,MATCH(74,Players!$M$4:$M$503,0)),"")</f>
        <v/>
      </c>
      <c r="B82" s="1" t="str">
        <f>IFERROR(INDEX(Players!$C$4:$C$503,MATCH(74,Players!$M$4:$M$503,0)),"")</f>
        <v/>
      </c>
      <c r="C82" s="1" t="str">
        <f>IFERROR(INDEX(Players!$D$4:$D$503,MATCH(74,Players!$M$4:$M$503,0)),"")</f>
        <v/>
      </c>
      <c r="D82" s="7" t="str">
        <f>IFERROR(INDEX(Players!$E$4:$E$503,MATCH(74,Players!$M$4:$M$503,0)),"")</f>
        <v/>
      </c>
      <c r="E82" s="7" t="str">
        <f>IFERROR(INDEX(Players!$H$4:$H$503,MATCH(74,Players!$M$4:$M$503,0)),"")</f>
        <v/>
      </c>
      <c r="F82" s="1" t="str">
        <f>IFERROR(INDEX(Players!$F$4:$F$503,MATCH(74,Players!$M$4:$M$503,0)),"")</f>
        <v/>
      </c>
      <c r="G82" s="1"/>
      <c r="H82" s="1"/>
    </row>
    <row r="83" spans="1:8">
      <c r="A83" s="1" t="str">
        <f>IFERROR(INDEX(Players!$B$4:$B$503,MATCH(75,Players!$M$4:$M$503,0)),"")</f>
        <v/>
      </c>
      <c r="B83" s="1" t="str">
        <f>IFERROR(INDEX(Players!$C$4:$C$503,MATCH(75,Players!$M$4:$M$503,0)),"")</f>
        <v/>
      </c>
      <c r="C83" s="1" t="str">
        <f>IFERROR(INDEX(Players!$D$4:$D$503,MATCH(75,Players!$M$4:$M$503,0)),"")</f>
        <v/>
      </c>
      <c r="D83" s="7" t="str">
        <f>IFERROR(INDEX(Players!$E$4:$E$503,MATCH(75,Players!$M$4:$M$503,0)),"")</f>
        <v/>
      </c>
      <c r="E83" s="7" t="str">
        <f>IFERROR(INDEX(Players!$H$4:$H$503,MATCH(75,Players!$M$4:$M$503,0)),"")</f>
        <v/>
      </c>
      <c r="F83" s="1" t="str">
        <f>IFERROR(INDEX(Players!$F$4:$F$503,MATCH(75,Players!$M$4:$M$503,0)),"")</f>
        <v/>
      </c>
      <c r="G83" s="1"/>
      <c r="H83" s="1"/>
    </row>
    <row r="84" spans="1:8">
      <c r="A84" s="1" t="str">
        <f>IFERROR(INDEX(Players!$B$4:$B$503,MATCH(76,Players!$M$4:$M$503,0)),"")</f>
        <v/>
      </c>
      <c r="B84" s="1" t="str">
        <f>IFERROR(INDEX(Players!$C$4:$C$503,MATCH(76,Players!$M$4:$M$503,0)),"")</f>
        <v/>
      </c>
      <c r="C84" s="1" t="str">
        <f>IFERROR(INDEX(Players!$D$4:$D$503,MATCH(76,Players!$M$4:$M$503,0)),"")</f>
        <v/>
      </c>
      <c r="D84" s="7" t="str">
        <f>IFERROR(INDEX(Players!$E$4:$E$503,MATCH(76,Players!$M$4:$M$503,0)),"")</f>
        <v/>
      </c>
      <c r="E84" s="7" t="str">
        <f>IFERROR(INDEX(Players!$H$4:$H$503,MATCH(76,Players!$M$4:$M$503,0)),"")</f>
        <v/>
      </c>
      <c r="F84" s="1" t="str">
        <f>IFERROR(INDEX(Players!$F$4:$F$503,MATCH(76,Players!$M$4:$M$503,0)),"")</f>
        <v/>
      </c>
      <c r="G84" s="1"/>
      <c r="H84" s="1"/>
    </row>
    <row r="85" spans="1:8">
      <c r="A85" s="1" t="str">
        <f>IFERROR(INDEX(Players!$B$4:$B$503,MATCH(77,Players!$M$4:$M$503,0)),"")</f>
        <v/>
      </c>
      <c r="B85" s="1" t="str">
        <f>IFERROR(INDEX(Players!$C$4:$C$503,MATCH(77,Players!$M$4:$M$503,0)),"")</f>
        <v/>
      </c>
      <c r="C85" s="1" t="str">
        <f>IFERROR(INDEX(Players!$D$4:$D$503,MATCH(77,Players!$M$4:$M$503,0)),"")</f>
        <v/>
      </c>
      <c r="D85" s="7" t="str">
        <f>IFERROR(INDEX(Players!$E$4:$E$503,MATCH(77,Players!$M$4:$M$503,0)),"")</f>
        <v/>
      </c>
      <c r="E85" s="7" t="str">
        <f>IFERROR(INDEX(Players!$H$4:$H$503,MATCH(77,Players!$M$4:$M$503,0)),"")</f>
        <v/>
      </c>
      <c r="F85" s="1" t="str">
        <f>IFERROR(INDEX(Players!$F$4:$F$503,MATCH(77,Players!$M$4:$M$503,0)),"")</f>
        <v/>
      </c>
      <c r="G85" s="1"/>
      <c r="H85" s="1"/>
    </row>
    <row r="86" spans="1:8">
      <c r="A86" s="1" t="str">
        <f>IFERROR(INDEX(Players!$B$4:$B$503,MATCH(78,Players!$M$4:$M$503,0)),"")</f>
        <v/>
      </c>
      <c r="B86" s="1" t="str">
        <f>IFERROR(INDEX(Players!$C$4:$C$503,MATCH(78,Players!$M$4:$M$503,0)),"")</f>
        <v/>
      </c>
      <c r="C86" s="1" t="str">
        <f>IFERROR(INDEX(Players!$D$4:$D$503,MATCH(78,Players!$M$4:$M$503,0)),"")</f>
        <v/>
      </c>
      <c r="D86" s="7" t="str">
        <f>IFERROR(INDEX(Players!$E$4:$E$503,MATCH(78,Players!$M$4:$M$503,0)),"")</f>
        <v/>
      </c>
      <c r="E86" s="7" t="str">
        <f>IFERROR(INDEX(Players!$H$4:$H$503,MATCH(78,Players!$M$4:$M$503,0)),"")</f>
        <v/>
      </c>
      <c r="F86" s="1" t="str">
        <f>IFERROR(INDEX(Players!$F$4:$F$503,MATCH(78,Players!$M$4:$M$503,0)),"")</f>
        <v/>
      </c>
      <c r="G86" s="1"/>
      <c r="H86" s="1"/>
    </row>
    <row r="87" spans="1:8">
      <c r="A87" s="1" t="str">
        <f>IFERROR(INDEX(Players!$B$4:$B$503,MATCH(79,Players!$M$4:$M$503,0)),"")</f>
        <v/>
      </c>
      <c r="B87" s="1" t="str">
        <f>IFERROR(INDEX(Players!$C$4:$C$503,MATCH(79,Players!$M$4:$M$503,0)),"")</f>
        <v/>
      </c>
      <c r="C87" s="1" t="str">
        <f>IFERROR(INDEX(Players!$D$4:$D$503,MATCH(79,Players!$M$4:$M$503,0)),"")</f>
        <v/>
      </c>
      <c r="D87" s="7" t="str">
        <f>IFERROR(INDEX(Players!$E$4:$E$503,MATCH(79,Players!$M$4:$M$503,0)),"")</f>
        <v/>
      </c>
      <c r="E87" s="7" t="str">
        <f>IFERROR(INDEX(Players!$H$4:$H$503,MATCH(79,Players!$M$4:$M$503,0)),"")</f>
        <v/>
      </c>
      <c r="F87" s="1" t="str">
        <f>IFERROR(INDEX(Players!$F$4:$F$503,MATCH(79,Players!$M$4:$M$503,0)),"")</f>
        <v/>
      </c>
      <c r="G87" s="1"/>
      <c r="H87" s="1"/>
    </row>
    <row r="88" spans="1:8">
      <c r="A88" s="1" t="str">
        <f>IFERROR(INDEX(Players!$B$4:$B$503,MATCH(80,Players!$M$4:$M$503,0)),"")</f>
        <v/>
      </c>
      <c r="B88" s="1" t="str">
        <f>IFERROR(INDEX(Players!$C$4:$C$503,MATCH(80,Players!$M$4:$M$503,0)),"")</f>
        <v/>
      </c>
      <c r="C88" s="1" t="str">
        <f>IFERROR(INDEX(Players!$D$4:$D$503,MATCH(80,Players!$M$4:$M$503,0)),"")</f>
        <v/>
      </c>
      <c r="D88" s="7" t="str">
        <f>IFERROR(INDEX(Players!$E$4:$E$503,MATCH(80,Players!$M$4:$M$503,0)),"")</f>
        <v/>
      </c>
      <c r="E88" s="7" t="str">
        <f>IFERROR(INDEX(Players!$H$4:$H$503,MATCH(80,Players!$M$4:$M$503,0)),"")</f>
        <v/>
      </c>
      <c r="F88" s="1" t="str">
        <f>IFERROR(INDEX(Players!$F$4:$F$503,MATCH(80,Players!$M$4:$M$503,0)),"")</f>
        <v/>
      </c>
      <c r="G88" s="1"/>
      <c r="H88" s="1"/>
    </row>
    <row r="89" spans="1:8">
      <c r="A89" s="1" t="str">
        <f>IFERROR(INDEX(Players!$B$4:$B$503,MATCH(81,Players!$M$4:$M$503,0)),"")</f>
        <v/>
      </c>
      <c r="B89" s="1" t="str">
        <f>IFERROR(INDEX(Players!$C$4:$C$503,MATCH(81,Players!$M$4:$M$503,0)),"")</f>
        <v/>
      </c>
      <c r="C89" s="1" t="str">
        <f>IFERROR(INDEX(Players!$D$4:$D$503,MATCH(81,Players!$M$4:$M$503,0)),"")</f>
        <v/>
      </c>
      <c r="D89" s="7" t="str">
        <f>IFERROR(INDEX(Players!$E$4:$E$503,MATCH(81,Players!$M$4:$M$503,0)),"")</f>
        <v/>
      </c>
      <c r="E89" s="7" t="str">
        <f>IFERROR(INDEX(Players!$H$4:$H$503,MATCH(81,Players!$M$4:$M$503,0)),"")</f>
        <v/>
      </c>
      <c r="F89" s="1" t="str">
        <f>IFERROR(INDEX(Players!$F$4:$F$503,MATCH(81,Players!$M$4:$M$503,0)),"")</f>
        <v/>
      </c>
      <c r="G89" s="1"/>
      <c r="H89" s="1"/>
    </row>
    <row r="90" spans="1:8">
      <c r="A90" s="1" t="str">
        <f>IFERROR(INDEX(Players!$B$4:$B$503,MATCH(82,Players!$M$4:$M$503,0)),"")</f>
        <v/>
      </c>
      <c r="B90" s="1" t="str">
        <f>IFERROR(INDEX(Players!$C$4:$C$503,MATCH(82,Players!$M$4:$M$503,0)),"")</f>
        <v/>
      </c>
      <c r="C90" s="1" t="str">
        <f>IFERROR(INDEX(Players!$D$4:$D$503,MATCH(82,Players!$M$4:$M$503,0)),"")</f>
        <v/>
      </c>
      <c r="D90" s="7" t="str">
        <f>IFERROR(INDEX(Players!$E$4:$E$503,MATCH(82,Players!$M$4:$M$503,0)),"")</f>
        <v/>
      </c>
      <c r="E90" s="7" t="str">
        <f>IFERROR(INDEX(Players!$H$4:$H$503,MATCH(82,Players!$M$4:$M$503,0)),"")</f>
        <v/>
      </c>
      <c r="F90" s="1" t="str">
        <f>IFERROR(INDEX(Players!$F$4:$F$503,MATCH(82,Players!$M$4:$M$503,0)),"")</f>
        <v/>
      </c>
      <c r="G90" s="1"/>
      <c r="H90" s="1"/>
    </row>
    <row r="91" spans="1:8">
      <c r="A91" s="1" t="str">
        <f>IFERROR(INDEX(Players!$B$4:$B$503,MATCH(83,Players!$M$4:$M$503,0)),"")</f>
        <v/>
      </c>
      <c r="B91" s="1" t="str">
        <f>IFERROR(INDEX(Players!$C$4:$C$503,MATCH(83,Players!$M$4:$M$503,0)),"")</f>
        <v/>
      </c>
      <c r="C91" s="1" t="str">
        <f>IFERROR(INDEX(Players!$D$4:$D$503,MATCH(83,Players!$M$4:$M$503,0)),"")</f>
        <v/>
      </c>
      <c r="D91" s="7" t="str">
        <f>IFERROR(INDEX(Players!$E$4:$E$503,MATCH(83,Players!$M$4:$M$503,0)),"")</f>
        <v/>
      </c>
      <c r="E91" s="7" t="str">
        <f>IFERROR(INDEX(Players!$H$4:$H$503,MATCH(83,Players!$M$4:$M$503,0)),"")</f>
        <v/>
      </c>
      <c r="F91" s="1" t="str">
        <f>IFERROR(INDEX(Players!$F$4:$F$503,MATCH(83,Players!$M$4:$M$503,0)),"")</f>
        <v/>
      </c>
      <c r="G91" s="1"/>
      <c r="H91" s="1"/>
    </row>
    <row r="92" spans="1:8">
      <c r="A92" s="1" t="str">
        <f>IFERROR(INDEX(Players!$B$4:$B$503,MATCH(84,Players!$M$4:$M$503,0)),"")</f>
        <v/>
      </c>
      <c r="B92" s="1" t="str">
        <f>IFERROR(INDEX(Players!$C$4:$C$503,MATCH(84,Players!$M$4:$M$503,0)),"")</f>
        <v/>
      </c>
      <c r="C92" s="1" t="str">
        <f>IFERROR(INDEX(Players!$D$4:$D$503,MATCH(84,Players!$M$4:$M$503,0)),"")</f>
        <v/>
      </c>
      <c r="D92" s="7" t="str">
        <f>IFERROR(INDEX(Players!$E$4:$E$503,MATCH(84,Players!$M$4:$M$503,0)),"")</f>
        <v/>
      </c>
      <c r="E92" s="7" t="str">
        <f>IFERROR(INDEX(Players!$H$4:$H$503,MATCH(84,Players!$M$4:$M$503,0)),"")</f>
        <v/>
      </c>
      <c r="F92" s="1" t="str">
        <f>IFERROR(INDEX(Players!$F$4:$F$503,MATCH(84,Players!$M$4:$M$503,0)),"")</f>
        <v/>
      </c>
      <c r="G92" s="1"/>
      <c r="H92" s="1"/>
    </row>
    <row r="93" spans="1:8">
      <c r="A93" s="1" t="str">
        <f>IFERROR(INDEX(Players!$B$4:$B$503,MATCH(85,Players!$M$4:$M$503,0)),"")</f>
        <v/>
      </c>
      <c r="B93" s="1" t="str">
        <f>IFERROR(INDEX(Players!$C$4:$C$503,MATCH(85,Players!$M$4:$M$503,0)),"")</f>
        <v/>
      </c>
      <c r="C93" s="1" t="str">
        <f>IFERROR(INDEX(Players!$D$4:$D$503,MATCH(85,Players!$M$4:$M$503,0)),"")</f>
        <v/>
      </c>
      <c r="D93" s="7" t="str">
        <f>IFERROR(INDEX(Players!$E$4:$E$503,MATCH(85,Players!$M$4:$M$503,0)),"")</f>
        <v/>
      </c>
      <c r="E93" s="7" t="str">
        <f>IFERROR(INDEX(Players!$H$4:$H$503,MATCH(85,Players!$M$4:$M$503,0)),"")</f>
        <v/>
      </c>
      <c r="F93" s="1" t="str">
        <f>IFERROR(INDEX(Players!$F$4:$F$503,MATCH(85,Players!$M$4:$M$503,0)),"")</f>
        <v/>
      </c>
      <c r="G93" s="1"/>
      <c r="H93" s="1"/>
    </row>
    <row r="94" spans="1:8">
      <c r="A94" s="1" t="str">
        <f>IFERROR(INDEX(Players!$B$4:$B$503,MATCH(86,Players!$M$4:$M$503,0)),"")</f>
        <v/>
      </c>
      <c r="B94" s="1" t="str">
        <f>IFERROR(INDEX(Players!$C$4:$C$503,MATCH(86,Players!$M$4:$M$503,0)),"")</f>
        <v/>
      </c>
      <c r="C94" s="1" t="str">
        <f>IFERROR(INDEX(Players!$D$4:$D$503,MATCH(86,Players!$M$4:$M$503,0)),"")</f>
        <v/>
      </c>
      <c r="D94" s="7" t="str">
        <f>IFERROR(INDEX(Players!$E$4:$E$503,MATCH(86,Players!$M$4:$M$503,0)),"")</f>
        <v/>
      </c>
      <c r="E94" s="7" t="str">
        <f>IFERROR(INDEX(Players!$H$4:$H$503,MATCH(86,Players!$M$4:$M$503,0)),"")</f>
        <v/>
      </c>
      <c r="F94" s="1" t="str">
        <f>IFERROR(INDEX(Players!$F$4:$F$503,MATCH(86,Players!$M$4:$M$503,0)),"")</f>
        <v/>
      </c>
      <c r="G94" s="1"/>
      <c r="H94" s="1"/>
    </row>
    <row r="95" spans="1:8">
      <c r="A95" s="1" t="str">
        <f>IFERROR(INDEX(Players!$B$4:$B$503,MATCH(87,Players!$M$4:$M$503,0)),"")</f>
        <v/>
      </c>
      <c r="B95" s="1" t="str">
        <f>IFERROR(INDEX(Players!$C$4:$C$503,MATCH(87,Players!$M$4:$M$503,0)),"")</f>
        <v/>
      </c>
      <c r="C95" s="1" t="str">
        <f>IFERROR(INDEX(Players!$D$4:$D$503,MATCH(87,Players!$M$4:$M$503,0)),"")</f>
        <v/>
      </c>
      <c r="D95" s="7" t="str">
        <f>IFERROR(INDEX(Players!$E$4:$E$503,MATCH(87,Players!$M$4:$M$503,0)),"")</f>
        <v/>
      </c>
      <c r="E95" s="7" t="str">
        <f>IFERROR(INDEX(Players!$H$4:$H$503,MATCH(87,Players!$M$4:$M$503,0)),"")</f>
        <v/>
      </c>
      <c r="F95" s="1" t="str">
        <f>IFERROR(INDEX(Players!$F$4:$F$503,MATCH(87,Players!$M$4:$M$503,0)),"")</f>
        <v/>
      </c>
      <c r="G95" s="1"/>
      <c r="H95" s="1"/>
    </row>
    <row r="96" spans="1:8">
      <c r="A96" s="1" t="str">
        <f>IFERROR(INDEX(Players!$B$4:$B$503,MATCH(88,Players!$M$4:$M$503,0)),"")</f>
        <v/>
      </c>
      <c r="B96" s="1" t="str">
        <f>IFERROR(INDEX(Players!$C$4:$C$503,MATCH(88,Players!$M$4:$M$503,0)),"")</f>
        <v/>
      </c>
      <c r="C96" s="1" t="str">
        <f>IFERROR(INDEX(Players!$D$4:$D$503,MATCH(88,Players!$M$4:$M$503,0)),"")</f>
        <v/>
      </c>
      <c r="D96" s="7" t="str">
        <f>IFERROR(INDEX(Players!$E$4:$E$503,MATCH(88,Players!$M$4:$M$503,0)),"")</f>
        <v/>
      </c>
      <c r="E96" s="7" t="str">
        <f>IFERROR(INDEX(Players!$H$4:$H$503,MATCH(88,Players!$M$4:$M$503,0)),"")</f>
        <v/>
      </c>
      <c r="F96" s="1" t="str">
        <f>IFERROR(INDEX(Players!$F$4:$F$503,MATCH(88,Players!$M$4:$M$503,0)),"")</f>
        <v/>
      </c>
      <c r="G96" s="1"/>
      <c r="H96" s="1"/>
    </row>
    <row r="97" spans="1:8">
      <c r="A97" s="1" t="str">
        <f>IFERROR(INDEX(Players!$B$4:$B$503,MATCH(89,Players!$M$4:$M$503,0)),"")</f>
        <v/>
      </c>
      <c r="B97" s="1" t="str">
        <f>IFERROR(INDEX(Players!$C$4:$C$503,MATCH(89,Players!$M$4:$M$503,0)),"")</f>
        <v/>
      </c>
      <c r="C97" s="1" t="str">
        <f>IFERROR(INDEX(Players!$D$4:$D$503,MATCH(89,Players!$M$4:$M$503,0)),"")</f>
        <v/>
      </c>
      <c r="D97" s="7" t="str">
        <f>IFERROR(INDEX(Players!$E$4:$E$503,MATCH(89,Players!$M$4:$M$503,0)),"")</f>
        <v/>
      </c>
      <c r="E97" s="7" t="str">
        <f>IFERROR(INDEX(Players!$H$4:$H$503,MATCH(89,Players!$M$4:$M$503,0)),"")</f>
        <v/>
      </c>
      <c r="F97" s="1" t="str">
        <f>IFERROR(INDEX(Players!$F$4:$F$503,MATCH(89,Players!$M$4:$M$503,0)),"")</f>
        <v/>
      </c>
      <c r="G97" s="1"/>
      <c r="H97" s="1"/>
    </row>
    <row r="98" spans="1:8">
      <c r="A98" s="1" t="str">
        <f>IFERROR(INDEX(Players!$B$4:$B$503,MATCH(90,Players!$M$4:$M$503,0)),"")</f>
        <v/>
      </c>
      <c r="B98" s="1" t="str">
        <f>IFERROR(INDEX(Players!$C$4:$C$503,MATCH(90,Players!$M$4:$M$503,0)),"")</f>
        <v/>
      </c>
      <c r="C98" s="1" t="str">
        <f>IFERROR(INDEX(Players!$D$4:$D$503,MATCH(90,Players!$M$4:$M$503,0)),"")</f>
        <v/>
      </c>
      <c r="D98" s="7" t="str">
        <f>IFERROR(INDEX(Players!$E$4:$E$503,MATCH(90,Players!$M$4:$M$503,0)),"")</f>
        <v/>
      </c>
      <c r="E98" s="7" t="str">
        <f>IFERROR(INDEX(Players!$H$4:$H$503,MATCH(90,Players!$M$4:$M$503,0)),"")</f>
        <v/>
      </c>
      <c r="F98" s="1" t="str">
        <f>IFERROR(INDEX(Players!$F$4:$F$503,MATCH(90,Players!$M$4:$M$503,0)),"")</f>
        <v/>
      </c>
      <c r="G98" s="1"/>
      <c r="H98" s="1"/>
    </row>
    <row r="99" spans="1:8">
      <c r="A99" s="1" t="str">
        <f>IFERROR(INDEX(Players!$B$4:$B$503,MATCH(91,Players!$M$4:$M$503,0)),"")</f>
        <v/>
      </c>
      <c r="B99" s="1" t="str">
        <f>IFERROR(INDEX(Players!$C$4:$C$503,MATCH(91,Players!$M$4:$M$503,0)),"")</f>
        <v/>
      </c>
      <c r="C99" s="1" t="str">
        <f>IFERROR(INDEX(Players!$D$4:$D$503,MATCH(91,Players!$M$4:$M$503,0)),"")</f>
        <v/>
      </c>
      <c r="D99" s="7" t="str">
        <f>IFERROR(INDEX(Players!$E$4:$E$503,MATCH(91,Players!$M$4:$M$503,0)),"")</f>
        <v/>
      </c>
      <c r="E99" s="7" t="str">
        <f>IFERROR(INDEX(Players!$H$4:$H$503,MATCH(91,Players!$M$4:$M$503,0)),"")</f>
        <v/>
      </c>
      <c r="F99" s="1" t="str">
        <f>IFERROR(INDEX(Players!$F$4:$F$503,MATCH(91,Players!$M$4:$M$503,0)),"")</f>
        <v/>
      </c>
      <c r="G99" s="1"/>
      <c r="H99" s="1"/>
    </row>
    <row r="100" spans="1:8">
      <c r="A100" s="1" t="str">
        <f>IFERROR(INDEX(Players!$B$4:$B$503,MATCH(92,Players!$M$4:$M$503,0)),"")</f>
        <v/>
      </c>
      <c r="B100" s="1" t="str">
        <f>IFERROR(INDEX(Players!$C$4:$C$503,MATCH(92,Players!$M$4:$M$503,0)),"")</f>
        <v/>
      </c>
      <c r="C100" s="1" t="str">
        <f>IFERROR(INDEX(Players!$D$4:$D$503,MATCH(92,Players!$M$4:$M$503,0)),"")</f>
        <v/>
      </c>
      <c r="D100" s="7" t="str">
        <f>IFERROR(INDEX(Players!$E$4:$E$503,MATCH(92,Players!$M$4:$M$503,0)),"")</f>
        <v/>
      </c>
      <c r="E100" s="7" t="str">
        <f>IFERROR(INDEX(Players!$H$4:$H$503,MATCH(92,Players!$M$4:$M$503,0)),"")</f>
        <v/>
      </c>
      <c r="F100" s="1" t="str">
        <f>IFERROR(INDEX(Players!$F$4:$F$503,MATCH(92,Players!$M$4:$M$503,0)),"")</f>
        <v/>
      </c>
      <c r="G100" s="1"/>
      <c r="H100" s="1"/>
    </row>
    <row r="101" spans="1:8">
      <c r="A101" s="1" t="str">
        <f>IFERROR(INDEX(Players!$B$4:$B$503,MATCH(93,Players!$M$4:$M$503,0)),"")</f>
        <v/>
      </c>
      <c r="B101" s="1" t="str">
        <f>IFERROR(INDEX(Players!$C$4:$C$503,MATCH(93,Players!$M$4:$M$503,0)),"")</f>
        <v/>
      </c>
      <c r="C101" s="1" t="str">
        <f>IFERROR(INDEX(Players!$D$4:$D$503,MATCH(93,Players!$M$4:$M$503,0)),"")</f>
        <v/>
      </c>
      <c r="D101" s="7" t="str">
        <f>IFERROR(INDEX(Players!$E$4:$E$503,MATCH(93,Players!$M$4:$M$503,0)),"")</f>
        <v/>
      </c>
      <c r="E101" s="7" t="str">
        <f>IFERROR(INDEX(Players!$H$4:$H$503,MATCH(93,Players!$M$4:$M$503,0)),"")</f>
        <v/>
      </c>
      <c r="F101" s="1" t="str">
        <f>IFERROR(INDEX(Players!$F$4:$F$503,MATCH(93,Players!$M$4:$M$503,0)),"")</f>
        <v/>
      </c>
      <c r="G101" s="1"/>
      <c r="H101" s="1"/>
    </row>
    <row r="102" spans="1:8">
      <c r="A102" s="1" t="str">
        <f>IFERROR(INDEX(Players!$B$4:$B$503,MATCH(94,Players!$M$4:$M$503,0)),"")</f>
        <v/>
      </c>
      <c r="B102" s="1" t="str">
        <f>IFERROR(INDEX(Players!$C$4:$C$503,MATCH(94,Players!$M$4:$M$503,0)),"")</f>
        <v/>
      </c>
      <c r="C102" s="1" t="str">
        <f>IFERROR(INDEX(Players!$D$4:$D$503,MATCH(94,Players!$M$4:$M$503,0)),"")</f>
        <v/>
      </c>
      <c r="D102" s="7" t="str">
        <f>IFERROR(INDEX(Players!$E$4:$E$503,MATCH(94,Players!$M$4:$M$503,0)),"")</f>
        <v/>
      </c>
      <c r="E102" s="7" t="str">
        <f>IFERROR(INDEX(Players!$H$4:$H$503,MATCH(94,Players!$M$4:$M$503,0)),"")</f>
        <v/>
      </c>
      <c r="F102" s="1" t="str">
        <f>IFERROR(INDEX(Players!$F$4:$F$503,MATCH(94,Players!$M$4:$M$503,0)),"")</f>
        <v/>
      </c>
      <c r="G102" s="1"/>
      <c r="H102" s="1"/>
    </row>
    <row r="103" spans="1:8">
      <c r="A103" s="1" t="str">
        <f>IFERROR(INDEX(Players!$B$4:$B$503,MATCH(95,Players!$M$4:$M$503,0)),"")</f>
        <v/>
      </c>
      <c r="B103" s="1" t="str">
        <f>IFERROR(INDEX(Players!$C$4:$C$503,MATCH(95,Players!$M$4:$M$503,0)),"")</f>
        <v/>
      </c>
      <c r="C103" s="1" t="str">
        <f>IFERROR(INDEX(Players!$D$4:$D$503,MATCH(95,Players!$M$4:$M$503,0)),"")</f>
        <v/>
      </c>
      <c r="D103" s="7" t="str">
        <f>IFERROR(INDEX(Players!$E$4:$E$503,MATCH(95,Players!$M$4:$M$503,0)),"")</f>
        <v/>
      </c>
      <c r="E103" s="7" t="str">
        <f>IFERROR(INDEX(Players!$H$4:$H$503,MATCH(95,Players!$M$4:$M$503,0)),"")</f>
        <v/>
      </c>
      <c r="F103" s="1" t="str">
        <f>IFERROR(INDEX(Players!$F$4:$F$503,MATCH(95,Players!$M$4:$M$503,0)),"")</f>
        <v/>
      </c>
      <c r="G103" s="1"/>
      <c r="H103" s="1"/>
    </row>
    <row r="104" spans="1:8">
      <c r="A104" s="1" t="str">
        <f>IFERROR(INDEX(Players!$B$4:$B$503,MATCH(96,Players!$M$4:$M$503,0)),"")</f>
        <v/>
      </c>
      <c r="B104" s="1" t="str">
        <f>IFERROR(INDEX(Players!$C$4:$C$503,MATCH(96,Players!$M$4:$M$503,0)),"")</f>
        <v/>
      </c>
      <c r="C104" s="1" t="str">
        <f>IFERROR(INDEX(Players!$D$4:$D$503,MATCH(96,Players!$M$4:$M$503,0)),"")</f>
        <v/>
      </c>
      <c r="D104" s="7" t="str">
        <f>IFERROR(INDEX(Players!$E$4:$E$503,MATCH(96,Players!$M$4:$M$503,0)),"")</f>
        <v/>
      </c>
      <c r="E104" s="7" t="str">
        <f>IFERROR(INDEX(Players!$H$4:$H$503,MATCH(96,Players!$M$4:$M$503,0)),"")</f>
        <v/>
      </c>
      <c r="F104" s="1" t="str">
        <f>IFERROR(INDEX(Players!$F$4:$F$503,MATCH(96,Players!$M$4:$M$503,0)),"")</f>
        <v/>
      </c>
      <c r="G104" s="1"/>
      <c r="H104" s="1"/>
    </row>
    <row r="105" spans="1:8">
      <c r="A105" s="1" t="str">
        <f>IFERROR(INDEX(Players!$B$4:$B$503,MATCH(97,Players!$M$4:$M$503,0)),"")</f>
        <v/>
      </c>
      <c r="B105" s="1" t="str">
        <f>IFERROR(INDEX(Players!$C$4:$C$503,MATCH(97,Players!$M$4:$M$503,0)),"")</f>
        <v/>
      </c>
      <c r="C105" s="1" t="str">
        <f>IFERROR(INDEX(Players!$D$4:$D$503,MATCH(97,Players!$M$4:$M$503,0)),"")</f>
        <v/>
      </c>
      <c r="D105" s="7" t="str">
        <f>IFERROR(INDEX(Players!$E$4:$E$503,MATCH(97,Players!$M$4:$M$503,0)),"")</f>
        <v/>
      </c>
      <c r="E105" s="7" t="str">
        <f>IFERROR(INDEX(Players!$H$4:$H$503,MATCH(97,Players!$M$4:$M$503,0)),"")</f>
        <v/>
      </c>
      <c r="F105" s="1" t="str">
        <f>IFERROR(INDEX(Players!$F$4:$F$503,MATCH(97,Players!$M$4:$M$503,0)),"")</f>
        <v/>
      </c>
      <c r="G105" s="1"/>
      <c r="H105" s="1"/>
    </row>
    <row r="106" spans="1:8">
      <c r="A106" s="1" t="str">
        <f>IFERROR(INDEX(Players!$B$4:$B$503,MATCH(98,Players!$M$4:$M$503,0)),"")</f>
        <v/>
      </c>
      <c r="B106" s="1" t="str">
        <f>IFERROR(INDEX(Players!$C$4:$C$503,MATCH(98,Players!$M$4:$M$503,0)),"")</f>
        <v/>
      </c>
      <c r="C106" s="1" t="str">
        <f>IFERROR(INDEX(Players!$D$4:$D$503,MATCH(98,Players!$M$4:$M$503,0)),"")</f>
        <v/>
      </c>
      <c r="D106" s="7" t="str">
        <f>IFERROR(INDEX(Players!$E$4:$E$503,MATCH(98,Players!$M$4:$M$503,0)),"")</f>
        <v/>
      </c>
      <c r="E106" s="7" t="str">
        <f>IFERROR(INDEX(Players!$H$4:$H$503,MATCH(98,Players!$M$4:$M$503,0)),"")</f>
        <v/>
      </c>
      <c r="F106" s="1" t="str">
        <f>IFERROR(INDEX(Players!$F$4:$F$503,MATCH(98,Players!$M$4:$M$503,0)),"")</f>
        <v/>
      </c>
      <c r="G106" s="1"/>
      <c r="H106" s="1"/>
    </row>
    <row r="107" spans="1:8">
      <c r="A107" s="1" t="str">
        <f>IFERROR(INDEX(Players!$B$4:$B$503,MATCH(99,Players!$M$4:$M$503,0)),"")</f>
        <v/>
      </c>
      <c r="B107" s="1" t="str">
        <f>IFERROR(INDEX(Players!$C$4:$C$503,MATCH(99,Players!$M$4:$M$503,0)),"")</f>
        <v/>
      </c>
      <c r="C107" s="1" t="str">
        <f>IFERROR(INDEX(Players!$D$4:$D$503,MATCH(99,Players!$M$4:$M$503,0)),"")</f>
        <v/>
      </c>
      <c r="D107" s="7" t="str">
        <f>IFERROR(INDEX(Players!$E$4:$E$503,MATCH(99,Players!$M$4:$M$503,0)),"")</f>
        <v/>
      </c>
      <c r="E107" s="7" t="str">
        <f>IFERROR(INDEX(Players!$H$4:$H$503,MATCH(99,Players!$M$4:$M$503,0)),"")</f>
        <v/>
      </c>
      <c r="F107" s="1" t="str">
        <f>IFERROR(INDEX(Players!$F$4:$F$503,MATCH(99,Players!$M$4:$M$503,0)),"")</f>
        <v/>
      </c>
      <c r="G107" s="1"/>
      <c r="H107" s="1"/>
    </row>
    <row r="108" spans="1:8">
      <c r="A108" s="1" t="str">
        <f>IFERROR(INDEX(Players!$B$4:$B$503,MATCH(100,Players!$M$4:$M$503,0)),"")</f>
        <v/>
      </c>
      <c r="B108" s="1" t="str">
        <f>IFERROR(INDEX(Players!$C$4:$C$503,MATCH(100,Players!$M$4:$M$503,0)),"")</f>
        <v/>
      </c>
      <c r="C108" s="1" t="str">
        <f>IFERROR(INDEX(Players!$D$4:$D$503,MATCH(100,Players!$M$4:$M$503,0)),"")</f>
        <v/>
      </c>
      <c r="D108" s="7" t="str">
        <f>IFERROR(INDEX(Players!$E$4:$E$503,MATCH(100,Players!$M$4:$M$503,0)),"")</f>
        <v/>
      </c>
      <c r="E108" s="7" t="str">
        <f>IFERROR(INDEX(Players!$H$4:$H$503,MATCH(100,Players!$M$4:$M$503,0)),"")</f>
        <v/>
      </c>
      <c r="F108" s="1" t="str">
        <f>IFERROR(INDEX(Players!$F$4:$F$503,MATCH(100,Players!$M$4:$M$503,0)),"")</f>
        <v/>
      </c>
      <c r="G108" s="1"/>
      <c r="H108" s="1"/>
    </row>
  </sheetData>
  <mergeCells count="1">
    <mergeCell ref="A1:H1"/>
  </mergeCells>
  <dataValidations count="1">
    <dataValidation type="list" sqref="B3" xr:uid="{00000000-0002-0000-0500-000000000000}">
      <formula1>TeamList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Dashboard</vt:lpstr>
      <vt:lpstr>Teams</vt:lpstr>
      <vt:lpstr>Players</vt:lpstr>
      <vt:lpstr>Sold Players</vt:lpstr>
      <vt:lpstr>Unsold Players</vt:lpstr>
      <vt:lpstr>Team 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Mayur Utekar</cp:lastModifiedBy>
  <dcterms:created xsi:type="dcterms:W3CDTF">2026-07-14T10:29:24Z</dcterms:created>
  <dcterms:modified xsi:type="dcterms:W3CDTF">2026-07-14T11:06:31Z</dcterms:modified>
</cp:coreProperties>
</file>